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asa\Desktop\Exp_Tec_Oxapampa_2020\04. PLANILLA DE METRADOS\"/>
    </mc:Choice>
  </mc:AlternateContent>
  <bookViews>
    <workbookView xWindow="0" yWindow="0" windowWidth="18300" windowHeight="7755"/>
  </bookViews>
  <sheets>
    <sheet name="ACERO EN BUZONES " sheetId="14" r:id="rId1"/>
  </sheets>
  <definedNames>
    <definedName name="_xlnm.Print_Area" localSheetId="0">'ACERO EN BUZONES '!$B$93:$M$150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6" i="14" l="1"/>
  <c r="J206" i="14" s="1"/>
  <c r="K206" i="14" s="1"/>
  <c r="H206" i="14"/>
  <c r="G206" i="14"/>
  <c r="H205" i="14"/>
  <c r="G205" i="14"/>
  <c r="I205" i="14" s="1"/>
  <c r="J205" i="14" s="1"/>
  <c r="K205" i="14" s="1"/>
  <c r="L206" i="14" s="1"/>
  <c r="H201" i="14"/>
  <c r="I201" i="14" s="1"/>
  <c r="J201" i="14" s="1"/>
  <c r="K201" i="14" s="1"/>
  <c r="G201" i="14"/>
  <c r="I200" i="14"/>
  <c r="J200" i="14" s="1"/>
  <c r="K200" i="14" s="1"/>
  <c r="H200" i="14"/>
  <c r="G200" i="14"/>
  <c r="H199" i="14"/>
  <c r="G199" i="14"/>
  <c r="I199" i="14" s="1"/>
  <c r="J199" i="14" s="1"/>
  <c r="K199" i="14" s="1"/>
  <c r="H198" i="14"/>
  <c r="G198" i="14"/>
  <c r="I198" i="14" s="1"/>
  <c r="J198" i="14" s="1"/>
  <c r="K198" i="14" s="1"/>
  <c r="H197" i="14"/>
  <c r="I197" i="14" s="1"/>
  <c r="J197" i="14" s="1"/>
  <c r="K197" i="14" s="1"/>
  <c r="G197" i="14"/>
  <c r="I196" i="14"/>
  <c r="J196" i="14" s="1"/>
  <c r="K196" i="14" s="1"/>
  <c r="H196" i="14"/>
  <c r="G196" i="14"/>
  <c r="H195" i="14"/>
  <c r="G195" i="14"/>
  <c r="I195" i="14" s="1"/>
  <c r="J195" i="14" s="1"/>
  <c r="K195" i="14" s="1"/>
  <c r="H194" i="14"/>
  <c r="G194" i="14"/>
  <c r="I194" i="14" s="1"/>
  <c r="J194" i="14" s="1"/>
  <c r="K194" i="14" s="1"/>
  <c r="I191" i="14"/>
  <c r="J191" i="14" s="1"/>
  <c r="K191" i="14" s="1"/>
  <c r="H191" i="14"/>
  <c r="G191" i="14"/>
  <c r="H190" i="14"/>
  <c r="G190" i="14"/>
  <c r="I190" i="14" s="1"/>
  <c r="J190" i="14" s="1"/>
  <c r="K190" i="14" s="1"/>
  <c r="H189" i="14"/>
  <c r="G189" i="14"/>
  <c r="I189" i="14" s="1"/>
  <c r="J189" i="14" s="1"/>
  <c r="K189" i="14" s="1"/>
  <c r="H188" i="14"/>
  <c r="I188" i="14" s="1"/>
  <c r="J188" i="14" s="1"/>
  <c r="K188" i="14" s="1"/>
  <c r="G188" i="14"/>
  <c r="I187" i="14"/>
  <c r="J187" i="14" s="1"/>
  <c r="K187" i="14" s="1"/>
  <c r="H187" i="14"/>
  <c r="G187" i="14"/>
  <c r="H186" i="14"/>
  <c r="G186" i="14"/>
  <c r="I186" i="14" s="1"/>
  <c r="J186" i="14" s="1"/>
  <c r="K186" i="14" s="1"/>
  <c r="H185" i="14"/>
  <c r="G185" i="14"/>
  <c r="I185" i="14" s="1"/>
  <c r="J185" i="14" s="1"/>
  <c r="K185" i="14" s="1"/>
  <c r="H184" i="14"/>
  <c r="I184" i="14" s="1"/>
  <c r="J184" i="14" s="1"/>
  <c r="K184" i="14" s="1"/>
  <c r="G184" i="14"/>
  <c r="H180" i="14"/>
  <c r="G180" i="14"/>
  <c r="F180" i="14"/>
  <c r="I180" i="14" s="1"/>
  <c r="J180" i="14" s="1"/>
  <c r="K180" i="14" s="1"/>
  <c r="H179" i="14"/>
  <c r="G179" i="14"/>
  <c r="G178" i="14"/>
  <c r="F179" i="14" s="1"/>
  <c r="H174" i="14"/>
  <c r="I174" i="14" s="1"/>
  <c r="J174" i="14" s="1"/>
  <c r="K174" i="14" s="1"/>
  <c r="G174" i="14"/>
  <c r="I173" i="14"/>
  <c r="J173" i="14" s="1"/>
  <c r="K173" i="14" s="1"/>
  <c r="H173" i="14"/>
  <c r="G173" i="14"/>
  <c r="H172" i="14"/>
  <c r="G172" i="14"/>
  <c r="I172" i="14" s="1"/>
  <c r="J172" i="14" s="1"/>
  <c r="K172" i="14" s="1"/>
  <c r="H171" i="14"/>
  <c r="G171" i="14"/>
  <c r="I171" i="14" s="1"/>
  <c r="J171" i="14" s="1"/>
  <c r="K171" i="14" s="1"/>
  <c r="L174" i="14" s="1"/>
  <c r="E165" i="14"/>
  <c r="F165" i="14" s="1"/>
  <c r="H165" i="14" s="1"/>
  <c r="H162" i="14"/>
  <c r="I162" i="14" s="1"/>
  <c r="F159" i="14"/>
  <c r="H159" i="14" s="1"/>
  <c r="E159" i="14"/>
  <c r="L144" i="14"/>
  <c r="I31" i="14"/>
  <c r="H101" i="14"/>
  <c r="H100" i="14"/>
  <c r="F100" i="14"/>
  <c r="E100" i="14"/>
  <c r="I43" i="14"/>
  <c r="H43" i="14"/>
  <c r="O44" i="14"/>
  <c r="O45" i="14"/>
  <c r="I167" i="14" l="1"/>
  <c r="I179" i="14"/>
  <c r="J179" i="14" s="1"/>
  <c r="K179" i="14" s="1"/>
  <c r="L191" i="14"/>
  <c r="L180" i="14"/>
  <c r="L201" i="14"/>
  <c r="N43" i="14"/>
  <c r="N44" i="14"/>
  <c r="G147" i="14"/>
  <c r="G146" i="14"/>
  <c r="G142" i="14"/>
  <c r="G141" i="14"/>
  <c r="G140" i="14"/>
  <c r="G139" i="14"/>
  <c r="G138" i="14"/>
  <c r="G137" i="14"/>
  <c r="G136" i="14"/>
  <c r="G135" i="14"/>
  <c r="G134" i="14"/>
  <c r="H138" i="14"/>
  <c r="G131" i="14"/>
  <c r="G130" i="14"/>
  <c r="G129" i="14"/>
  <c r="G128" i="14"/>
  <c r="G127" i="14"/>
  <c r="H127" i="14"/>
  <c r="I127" i="14" s="1"/>
  <c r="J127" i="14" s="1"/>
  <c r="K127" i="14" s="1"/>
  <c r="G126" i="14"/>
  <c r="G125" i="14"/>
  <c r="G124" i="14"/>
  <c r="G123" i="14"/>
  <c r="G113" i="14"/>
  <c r="G112" i="14"/>
  <c r="G111" i="14"/>
  <c r="G110" i="14"/>
  <c r="E98" i="14"/>
  <c r="F61" i="14"/>
  <c r="F119" i="14"/>
  <c r="G118" i="14"/>
  <c r="G60" i="14"/>
  <c r="H147" i="14"/>
  <c r="H146" i="14"/>
  <c r="H142" i="14"/>
  <c r="H141" i="14"/>
  <c r="H140" i="14"/>
  <c r="I140" i="14" s="1"/>
  <c r="J140" i="14" s="1"/>
  <c r="K140" i="14" s="1"/>
  <c r="H139" i="14"/>
  <c r="H137" i="14"/>
  <c r="H136" i="14"/>
  <c r="I136" i="14" s="1"/>
  <c r="J136" i="14" s="1"/>
  <c r="K136" i="14" s="1"/>
  <c r="H135" i="14"/>
  <c r="H134" i="14"/>
  <c r="H131" i="14"/>
  <c r="H130" i="14"/>
  <c r="H129" i="14"/>
  <c r="I129" i="14" s="1"/>
  <c r="J129" i="14" s="1"/>
  <c r="K129" i="14" s="1"/>
  <c r="H128" i="14"/>
  <c r="H126" i="14"/>
  <c r="H125" i="14"/>
  <c r="H124" i="14"/>
  <c r="H123" i="14"/>
  <c r="H119" i="14"/>
  <c r="H118" i="14"/>
  <c r="G117" i="14"/>
  <c r="F118" i="14" s="1"/>
  <c r="H113" i="14"/>
  <c r="H112" i="14"/>
  <c r="H111" i="14"/>
  <c r="I111" i="14" s="1"/>
  <c r="J111" i="14" s="1"/>
  <c r="K111" i="14" s="1"/>
  <c r="H110" i="14"/>
  <c r="F104" i="14"/>
  <c r="H104" i="14" s="1"/>
  <c r="G119" i="14"/>
  <c r="F98" i="14"/>
  <c r="H98" i="14" s="1"/>
  <c r="G54" i="14"/>
  <c r="G53" i="14"/>
  <c r="G52" i="14"/>
  <c r="H53" i="14"/>
  <c r="H54" i="14"/>
  <c r="H87" i="14"/>
  <c r="G87" i="14"/>
  <c r="H86" i="14"/>
  <c r="G86" i="14"/>
  <c r="G55" i="14"/>
  <c r="G67" i="14"/>
  <c r="G66" i="14"/>
  <c r="G65" i="14"/>
  <c r="G68" i="14"/>
  <c r="G82" i="14"/>
  <c r="G81" i="14"/>
  <c r="G80" i="14"/>
  <c r="G79" i="14"/>
  <c r="G78" i="14"/>
  <c r="G77" i="14"/>
  <c r="G76" i="14"/>
  <c r="G75" i="14"/>
  <c r="G72" i="14"/>
  <c r="G71" i="14"/>
  <c r="G70" i="14"/>
  <c r="G69" i="14"/>
  <c r="E40" i="14"/>
  <c r="E46" i="14"/>
  <c r="F46" i="14" s="1"/>
  <c r="H46" i="14" s="1"/>
  <c r="H82" i="14"/>
  <c r="H81" i="14"/>
  <c r="H80" i="14"/>
  <c r="H79" i="14"/>
  <c r="H78" i="14"/>
  <c r="H77" i="14"/>
  <c r="H76" i="14"/>
  <c r="H75" i="14"/>
  <c r="H72" i="14"/>
  <c r="H71" i="14"/>
  <c r="H70" i="14"/>
  <c r="H69" i="14"/>
  <c r="H68" i="14"/>
  <c r="H67" i="14"/>
  <c r="H66" i="14"/>
  <c r="H65" i="14"/>
  <c r="H61" i="14"/>
  <c r="H60" i="14"/>
  <c r="G59" i="14"/>
  <c r="F60" i="14" s="1"/>
  <c r="H55" i="14"/>
  <c r="H52" i="14"/>
  <c r="G28" i="14"/>
  <c r="G27" i="14"/>
  <c r="H28" i="14"/>
  <c r="H27" i="14"/>
  <c r="G23" i="14"/>
  <c r="G22" i="14"/>
  <c r="G21" i="14"/>
  <c r="G20" i="14"/>
  <c r="G19" i="14"/>
  <c r="G18" i="14"/>
  <c r="G17" i="14"/>
  <c r="G16" i="14"/>
  <c r="G13" i="14"/>
  <c r="G12" i="14"/>
  <c r="G10" i="14"/>
  <c r="G11" i="14"/>
  <c r="H23" i="14"/>
  <c r="H22" i="14"/>
  <c r="H21" i="14"/>
  <c r="H20" i="14"/>
  <c r="H19" i="14"/>
  <c r="H18" i="14"/>
  <c r="H17" i="14"/>
  <c r="H16" i="14"/>
  <c r="H13" i="14"/>
  <c r="H12" i="14"/>
  <c r="H11" i="14"/>
  <c r="H10" i="14"/>
  <c r="H9" i="14"/>
  <c r="G9" i="14"/>
  <c r="H8" i="14"/>
  <c r="G8" i="14"/>
  <c r="H7" i="14"/>
  <c r="G7" i="14"/>
  <c r="H6" i="14"/>
  <c r="G6" i="14"/>
  <c r="I208" i="14" l="1"/>
  <c r="I146" i="14"/>
  <c r="J146" i="14" s="1"/>
  <c r="K146" i="14" s="1"/>
  <c r="I128" i="14"/>
  <c r="J128" i="14" s="1"/>
  <c r="K128" i="14" s="1"/>
  <c r="I137" i="14"/>
  <c r="J137" i="14" s="1"/>
  <c r="K137" i="14" s="1"/>
  <c r="H40" i="14"/>
  <c r="I48" i="14" s="1"/>
  <c r="F40" i="14"/>
  <c r="I113" i="14"/>
  <c r="J113" i="14" s="1"/>
  <c r="K113" i="14" s="1"/>
  <c r="I123" i="14"/>
  <c r="J123" i="14" s="1"/>
  <c r="K123" i="14" s="1"/>
  <c r="I138" i="14"/>
  <c r="J138" i="14" s="1"/>
  <c r="K138" i="14" s="1"/>
  <c r="I124" i="14"/>
  <c r="J124" i="14" s="1"/>
  <c r="K124" i="14" s="1"/>
  <c r="I130" i="14"/>
  <c r="J130" i="14" s="1"/>
  <c r="K130" i="14" s="1"/>
  <c r="I139" i="14"/>
  <c r="J139" i="14" s="1"/>
  <c r="K139" i="14" s="1"/>
  <c r="I125" i="14"/>
  <c r="J125" i="14" s="1"/>
  <c r="K125" i="14" s="1"/>
  <c r="I110" i="14"/>
  <c r="J110" i="14" s="1"/>
  <c r="K110" i="14" s="1"/>
  <c r="I134" i="14"/>
  <c r="J134" i="14" s="1"/>
  <c r="K134" i="14" s="1"/>
  <c r="I142" i="14"/>
  <c r="J142" i="14" s="1"/>
  <c r="K142" i="14" s="1"/>
  <c r="I135" i="14"/>
  <c r="J135" i="14" s="1"/>
  <c r="K135" i="14" s="1"/>
  <c r="I147" i="14"/>
  <c r="J147" i="14" s="1"/>
  <c r="K147" i="14" s="1"/>
  <c r="L147" i="14" s="1"/>
  <c r="I141" i="14"/>
  <c r="J141" i="14" s="1"/>
  <c r="K141" i="14" s="1"/>
  <c r="I131" i="14"/>
  <c r="J131" i="14" s="1"/>
  <c r="K131" i="14" s="1"/>
  <c r="I53" i="14"/>
  <c r="J53" i="14" s="1"/>
  <c r="K53" i="14" s="1"/>
  <c r="I126" i="14"/>
  <c r="J126" i="14" s="1"/>
  <c r="K126" i="14" s="1"/>
  <c r="I112" i="14"/>
  <c r="J112" i="14" s="1"/>
  <c r="K112" i="14" s="1"/>
  <c r="L113" i="14" s="1"/>
  <c r="I119" i="14"/>
  <c r="J119" i="14" s="1"/>
  <c r="K119" i="14" s="1"/>
  <c r="I118" i="14"/>
  <c r="J118" i="14" s="1"/>
  <c r="K118" i="14" s="1"/>
  <c r="I101" i="14"/>
  <c r="I106" i="14" s="1"/>
  <c r="I86" i="14"/>
  <c r="J86" i="14" s="1"/>
  <c r="K86" i="14" s="1"/>
  <c r="I87" i="14"/>
  <c r="J87" i="14" s="1"/>
  <c r="K87" i="14" s="1"/>
  <c r="I67" i="14"/>
  <c r="J67" i="14" s="1"/>
  <c r="K67" i="14" s="1"/>
  <c r="I68" i="14"/>
  <c r="J68" i="14" s="1"/>
  <c r="K68" i="14" s="1"/>
  <c r="I77" i="14"/>
  <c r="J77" i="14" s="1"/>
  <c r="K77" i="14" s="1"/>
  <c r="I80" i="14"/>
  <c r="J80" i="14" s="1"/>
  <c r="K80" i="14" s="1"/>
  <c r="I71" i="14"/>
  <c r="J71" i="14" s="1"/>
  <c r="K71" i="14" s="1"/>
  <c r="I27" i="14"/>
  <c r="J27" i="14" s="1"/>
  <c r="K27" i="14" s="1"/>
  <c r="I75" i="14"/>
  <c r="J75" i="14" s="1"/>
  <c r="K75" i="14" s="1"/>
  <c r="I60" i="14"/>
  <c r="J60" i="14" s="1"/>
  <c r="K60" i="14" s="1"/>
  <c r="I79" i="14"/>
  <c r="J79" i="14" s="1"/>
  <c r="K79" i="14" s="1"/>
  <c r="I81" i="14"/>
  <c r="J81" i="14" s="1"/>
  <c r="K81" i="14" s="1"/>
  <c r="I55" i="14"/>
  <c r="J55" i="14" s="1"/>
  <c r="K55" i="14" s="1"/>
  <c r="I72" i="14"/>
  <c r="J72" i="14" s="1"/>
  <c r="K72" i="14" s="1"/>
  <c r="I54" i="14"/>
  <c r="J54" i="14" s="1"/>
  <c r="K54" i="14" s="1"/>
  <c r="I65" i="14"/>
  <c r="J65" i="14" s="1"/>
  <c r="K65" i="14" s="1"/>
  <c r="I76" i="14"/>
  <c r="J76" i="14" s="1"/>
  <c r="K76" i="14" s="1"/>
  <c r="I82" i="14"/>
  <c r="J82" i="14" s="1"/>
  <c r="K82" i="14" s="1"/>
  <c r="I66" i="14"/>
  <c r="J66" i="14" s="1"/>
  <c r="K66" i="14" s="1"/>
  <c r="I28" i="14"/>
  <c r="J28" i="14" s="1"/>
  <c r="K28" i="14" s="1"/>
  <c r="I69" i="14"/>
  <c r="J69" i="14" s="1"/>
  <c r="K69" i="14" s="1"/>
  <c r="I52" i="14"/>
  <c r="J52" i="14" s="1"/>
  <c r="K52" i="14" s="1"/>
  <c r="I70" i="14"/>
  <c r="J70" i="14" s="1"/>
  <c r="K70" i="14" s="1"/>
  <c r="I78" i="14"/>
  <c r="J78" i="14" s="1"/>
  <c r="K78" i="14" s="1"/>
  <c r="G61" i="14"/>
  <c r="I61" i="14" s="1"/>
  <c r="J61" i="14" s="1"/>
  <c r="K61" i="14" s="1"/>
  <c r="I11" i="14"/>
  <c r="J11" i="14" s="1"/>
  <c r="K11" i="14" s="1"/>
  <c r="I16" i="14"/>
  <c r="J16" i="14" s="1"/>
  <c r="K16" i="14" s="1"/>
  <c r="I18" i="14"/>
  <c r="J18" i="14" s="1"/>
  <c r="K18" i="14" s="1"/>
  <c r="I22" i="14"/>
  <c r="J22" i="14" s="1"/>
  <c r="K22" i="14" s="1"/>
  <c r="I9" i="14"/>
  <c r="J9" i="14" s="1"/>
  <c r="K9" i="14" s="1"/>
  <c r="I19" i="14"/>
  <c r="J19" i="14" s="1"/>
  <c r="K19" i="14" s="1"/>
  <c r="I10" i="14"/>
  <c r="J10" i="14" s="1"/>
  <c r="K10" i="14" s="1"/>
  <c r="I8" i="14"/>
  <c r="J8" i="14" s="1"/>
  <c r="K8" i="14" s="1"/>
  <c r="I17" i="14"/>
  <c r="J17" i="14" s="1"/>
  <c r="K17" i="14" s="1"/>
  <c r="I21" i="14"/>
  <c r="J21" i="14" s="1"/>
  <c r="K21" i="14" s="1"/>
  <c r="I12" i="14"/>
  <c r="J12" i="14" s="1"/>
  <c r="K12" i="14" s="1"/>
  <c r="I6" i="14"/>
  <c r="J6" i="14" s="1"/>
  <c r="K6" i="14" s="1"/>
  <c r="I13" i="14"/>
  <c r="J13" i="14" s="1"/>
  <c r="K13" i="14" s="1"/>
  <c r="I7" i="14"/>
  <c r="J7" i="14" s="1"/>
  <c r="K7" i="14" s="1"/>
  <c r="I23" i="14"/>
  <c r="J23" i="14" s="1"/>
  <c r="K23" i="14" s="1"/>
  <c r="I20" i="14"/>
  <c r="J20" i="14" s="1"/>
  <c r="K20" i="14" s="1"/>
  <c r="L142" i="14" l="1"/>
  <c r="L131" i="14"/>
  <c r="L119" i="14"/>
  <c r="L87" i="14"/>
  <c r="L28" i="14"/>
  <c r="L55" i="14"/>
  <c r="L82" i="14"/>
  <c r="L61" i="14"/>
  <c r="L72" i="14"/>
  <c r="L23" i="14"/>
  <c r="L13" i="14"/>
  <c r="I149" i="14" l="1"/>
  <c r="I89" i="14"/>
</calcChain>
</file>

<file path=xl/sharedStrings.xml><?xml version="1.0" encoding="utf-8"?>
<sst xmlns="http://schemas.openxmlformats.org/spreadsheetml/2006/main" count="299" uniqueCount="37">
  <si>
    <t>Diametro</t>
  </si>
  <si>
    <t>area</t>
  </si>
  <si>
    <t>espesor</t>
  </si>
  <si>
    <t>Volumen</t>
  </si>
  <si>
    <t>muros</t>
  </si>
  <si>
    <t>Alto</t>
  </si>
  <si>
    <t>Total concreto =</t>
  </si>
  <si>
    <t>m3</t>
  </si>
  <si>
    <t>Diametro Ø</t>
  </si>
  <si>
    <t>N° piezas</t>
  </si>
  <si>
    <t>Longitud (m)</t>
  </si>
  <si>
    <t>w        (Kg/ml)</t>
  </si>
  <si>
    <t>Parcial</t>
  </si>
  <si>
    <t>5% Desp.</t>
  </si>
  <si>
    <t>Sub total</t>
  </si>
  <si>
    <t>Total</t>
  </si>
  <si>
    <t>Vert.</t>
  </si>
  <si>
    <t>Horiz.</t>
  </si>
  <si>
    <t>Total acero  =</t>
  </si>
  <si>
    <t>Kg</t>
  </si>
  <si>
    <t>b) Acero</t>
  </si>
  <si>
    <t>a) Concreto</t>
  </si>
  <si>
    <t>Losa fondo</t>
  </si>
  <si>
    <t>y</t>
  </si>
  <si>
    <t>x</t>
  </si>
  <si>
    <t>Muros</t>
  </si>
  <si>
    <t>Techo</t>
  </si>
  <si>
    <t>Acero en Techo:</t>
  </si>
  <si>
    <t xml:space="preserve">       Acero de Refuerzo</t>
  </si>
  <si>
    <t>ACERO PARA LOS BUZONES CON ALTURAS IGUALES A 2.00M</t>
  </si>
  <si>
    <t>X</t>
  </si>
  <si>
    <t xml:space="preserve">ACERO PARA LOS TECHOS DE LOS BUZONES </t>
  </si>
  <si>
    <t>Diametro Men.</t>
  </si>
  <si>
    <t>Diametro May.</t>
  </si>
  <si>
    <t>Area</t>
  </si>
  <si>
    <t>ACERO PARA LOS BUZONES CON ALTURAS MAYOR IGUAL A  2.00M</t>
  </si>
  <si>
    <t>ACERO PARA LOS BUZONES CON ALTURAS IGUALES A 3.00M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</si>
</sst>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10"/>
      <name val="Arial Narrow"/>
      <family val="2"/>
    </font>
    <font>
      <sz val="10"/>
      <color indexed="10"/>
      <name val="Arial Narrow"/>
      <family val="2"/>
    </font>
    <font>
      <b/>
      <i/>
      <sz val="10"/>
      <name val="Arial Narrow"/>
      <family val="2"/>
    </font>
    <font>
      <b/>
      <u/>
      <sz val="14"/>
      <name val="Agency FB"/>
      <family val="2"/>
    </font>
    <font>
      <b/>
      <u/>
      <sz val="10"/>
      <name val="Arial Narrow"/>
      <family val="2"/>
    </font>
    <font>
      <b/>
      <i/>
      <u/>
      <sz val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rgb="FFFF99FF"/>
      </left>
      <right/>
      <top style="double">
        <color rgb="FFFF99FF"/>
      </top>
      <bottom/>
      <diagonal/>
    </border>
    <border>
      <left/>
      <right/>
      <top style="double">
        <color rgb="FFFF99FF"/>
      </top>
      <bottom/>
      <diagonal/>
    </border>
    <border>
      <left/>
      <right style="double">
        <color rgb="FFFF99FF"/>
      </right>
      <top style="double">
        <color rgb="FFFF99FF"/>
      </top>
      <bottom/>
      <diagonal/>
    </border>
    <border>
      <left style="double">
        <color rgb="FFFF99FF"/>
      </left>
      <right/>
      <top/>
      <bottom/>
      <diagonal/>
    </border>
    <border>
      <left/>
      <right style="double">
        <color rgb="FFFF99FF"/>
      </right>
      <top/>
      <bottom/>
      <diagonal/>
    </border>
    <border>
      <left style="double">
        <color rgb="FFFF99FF"/>
      </left>
      <right/>
      <top/>
      <bottom style="double">
        <color rgb="FFFF99FF"/>
      </bottom>
      <diagonal/>
    </border>
    <border>
      <left/>
      <right/>
      <top/>
      <bottom style="double">
        <color rgb="FFFF99FF"/>
      </bottom>
      <diagonal/>
    </border>
    <border>
      <left/>
      <right style="double">
        <color rgb="FFFF99FF"/>
      </right>
      <top/>
      <bottom style="double">
        <color rgb="FFFF99FF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2" fillId="2" borderId="0" xfId="1" applyFont="1" applyFill="1"/>
    <xf numFmtId="0" fontId="3" fillId="2" borderId="0" xfId="1" applyFont="1" applyFill="1" applyBorder="1"/>
    <xf numFmtId="0" fontId="2" fillId="2" borderId="0" xfId="1" applyFont="1" applyFill="1" applyBorder="1"/>
    <xf numFmtId="0" fontId="2" fillId="2" borderId="1" xfId="1" applyFont="1" applyFill="1" applyBorder="1" applyAlignment="1">
      <alignment horizontal="center"/>
    </xf>
    <xf numFmtId="2" fontId="2" fillId="2" borderId="0" xfId="1" applyNumberFormat="1" applyFont="1" applyFill="1" applyBorder="1" applyAlignment="1">
      <alignment horizontal="center"/>
    </xf>
    <xf numFmtId="0" fontId="2" fillId="2" borderId="3" xfId="1" applyFont="1" applyFill="1" applyBorder="1"/>
    <xf numFmtId="0" fontId="4" fillId="2" borderId="4" xfId="1" applyFont="1" applyFill="1" applyBorder="1" applyAlignment="1">
      <alignment horizontal="right"/>
    </xf>
    <xf numFmtId="2" fontId="4" fillId="2" borderId="4" xfId="1" applyNumberFormat="1" applyFont="1" applyFill="1" applyBorder="1" applyAlignment="1">
      <alignment horizontal="center"/>
    </xf>
    <xf numFmtId="0" fontId="4" fillId="2" borderId="5" xfId="1" applyFont="1" applyFill="1" applyBorder="1"/>
    <xf numFmtId="0" fontId="2" fillId="2" borderId="1" xfId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 wrapText="1"/>
    </xf>
    <xf numFmtId="12" fontId="2" fillId="2" borderId="1" xfId="1" applyNumberFormat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/>
    </xf>
    <xf numFmtId="164" fontId="2" fillId="2" borderId="6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right" vertical="center"/>
    </xf>
    <xf numFmtId="164" fontId="2" fillId="2" borderId="0" xfId="1" applyNumberFormat="1" applyFont="1" applyFill="1" applyBorder="1" applyAlignment="1">
      <alignment vertical="center"/>
    </xf>
    <xf numFmtId="0" fontId="2" fillId="2" borderId="0" xfId="1" applyFont="1" applyFill="1" applyBorder="1" applyAlignment="1">
      <alignment horizontal="right"/>
    </xf>
    <xf numFmtId="2" fontId="2" fillId="2" borderId="3" xfId="1" applyNumberFormat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right"/>
    </xf>
    <xf numFmtId="0" fontId="5" fillId="2" borderId="0" xfId="1" applyFont="1" applyFill="1" applyBorder="1"/>
    <xf numFmtId="0" fontId="5" fillId="2" borderId="3" xfId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center"/>
    </xf>
    <xf numFmtId="0" fontId="4" fillId="2" borderId="5" xfId="1" applyFont="1" applyFill="1" applyBorder="1" applyAlignment="1">
      <alignment horizontal="left"/>
    </xf>
    <xf numFmtId="0" fontId="2" fillId="2" borderId="7" xfId="1" applyFont="1" applyFill="1" applyBorder="1"/>
    <xf numFmtId="0" fontId="3" fillId="2" borderId="8" xfId="1" applyFont="1" applyFill="1" applyBorder="1" applyAlignment="1">
      <alignment horizontal="center"/>
    </xf>
    <xf numFmtId="0" fontId="2" fillId="2" borderId="9" xfId="1" applyFont="1" applyFill="1" applyBorder="1"/>
    <xf numFmtId="0" fontId="2" fillId="2" borderId="10" xfId="1" applyFont="1" applyFill="1" applyBorder="1"/>
    <xf numFmtId="0" fontId="2" fillId="2" borderId="11" xfId="1" applyFont="1" applyFill="1" applyBorder="1"/>
    <xf numFmtId="0" fontId="5" fillId="2" borderId="10" xfId="1" applyFont="1" applyFill="1" applyBorder="1"/>
    <xf numFmtId="0" fontId="5" fillId="2" borderId="11" xfId="1" applyFont="1" applyFill="1" applyBorder="1"/>
    <xf numFmtId="0" fontId="2" fillId="2" borderId="12" xfId="1" applyFont="1" applyFill="1" applyBorder="1"/>
    <xf numFmtId="0" fontId="2" fillId="2" borderId="13" xfId="1" applyFont="1" applyFill="1" applyBorder="1"/>
    <xf numFmtId="0" fontId="2" fillId="2" borderId="14" xfId="1" applyFont="1" applyFill="1" applyBorder="1"/>
    <xf numFmtId="2" fontId="2" fillId="2" borderId="0" xfId="1" applyNumberFormat="1" applyFont="1" applyFill="1" applyBorder="1"/>
    <xf numFmtId="0" fontId="2" fillId="2" borderId="0" xfId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2" fontId="2" fillId="2" borderId="0" xfId="1" applyNumberFormat="1" applyFont="1" applyFill="1" applyBorder="1" applyAlignment="1">
      <alignment horizontal="center" vertical="center"/>
    </xf>
    <xf numFmtId="0" fontId="2" fillId="2" borderId="0" xfId="1" applyNumberFormat="1" applyFont="1" applyFill="1" applyBorder="1" applyAlignment="1">
      <alignment horizontal="center" vertical="center"/>
    </xf>
    <xf numFmtId="164" fontId="2" fillId="2" borderId="0" xfId="1" applyNumberFormat="1" applyFont="1" applyFill="1" applyBorder="1" applyAlignment="1">
      <alignment horizontal="center" vertical="center"/>
    </xf>
    <xf numFmtId="164" fontId="3" fillId="2" borderId="0" xfId="1" applyNumberFormat="1" applyFont="1" applyFill="1" applyBorder="1" applyAlignment="1">
      <alignment horizontal="center" vertical="center"/>
    </xf>
    <xf numFmtId="164" fontId="2" fillId="2" borderId="3" xfId="1" applyNumberFormat="1" applyFont="1" applyFill="1" applyBorder="1" applyAlignment="1">
      <alignment horizontal="center" vertical="center" wrapText="1"/>
    </xf>
    <xf numFmtId="164" fontId="2" fillId="2" borderId="6" xfId="1" applyNumberFormat="1" applyFont="1" applyFill="1" applyBorder="1" applyAlignment="1">
      <alignment horizontal="center" vertical="center" wrapText="1"/>
    </xf>
    <xf numFmtId="0" fontId="0" fillId="0" borderId="10" xfId="0" applyBorder="1"/>
    <xf numFmtId="2" fontId="2" fillId="2" borderId="1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/>
    <xf numFmtId="0" fontId="2" fillId="2" borderId="15" xfId="1" applyFont="1" applyFill="1" applyBorder="1"/>
    <xf numFmtId="0" fontId="8" fillId="2" borderId="0" xfId="1" applyFont="1" applyFill="1" applyBorder="1"/>
    <xf numFmtId="0" fontId="8" fillId="2" borderId="0" xfId="1" applyFont="1" applyFill="1" applyBorder="1" applyAlignment="1">
      <alignment horizontal="center"/>
    </xf>
    <xf numFmtId="0" fontId="9" fillId="2" borderId="0" xfId="1" applyFont="1" applyFill="1" applyBorder="1"/>
    <xf numFmtId="12" fontId="6" fillId="2" borderId="0" xfId="1" applyNumberFormat="1" applyFont="1" applyFill="1" applyBorder="1" applyAlignment="1">
      <alignment horizontal="center" vertical="center"/>
    </xf>
    <xf numFmtId="165" fontId="7" fillId="2" borderId="11" xfId="1" applyNumberFormat="1" applyFont="1" applyFill="1" applyBorder="1" applyAlignment="1"/>
    <xf numFmtId="0" fontId="0" fillId="0" borderId="0" xfId="0" applyBorder="1"/>
    <xf numFmtId="0" fontId="2" fillId="2" borderId="11" xfId="1" applyFont="1" applyFill="1" applyBorder="1" applyAlignment="1">
      <alignment horizontal="center"/>
    </xf>
    <xf numFmtId="2" fontId="2" fillId="2" borderId="11" xfId="1" applyNumberFormat="1" applyFont="1" applyFill="1" applyBorder="1" applyAlignment="1">
      <alignment horizontal="center"/>
    </xf>
    <xf numFmtId="165" fontId="7" fillId="2" borderId="0" xfId="1" applyNumberFormat="1" applyFont="1" applyFill="1" applyBorder="1" applyAlignment="1">
      <alignment horizontal="center"/>
    </xf>
    <xf numFmtId="164" fontId="5" fillId="2" borderId="0" xfId="1" applyNumberFormat="1" applyFont="1" applyFill="1" applyBorder="1"/>
    <xf numFmtId="164" fontId="0" fillId="0" borderId="0" xfId="0" applyNumberFormat="1"/>
  </cellXfs>
  <cellStyles count="4">
    <cellStyle name="Normal" xfId="0" builtinId="0"/>
    <cellStyle name="Normal 2" xfId="1"/>
    <cellStyle name="Normal 2 2" xfId="2"/>
    <cellStyle name="Normal 4" xfId="3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161926</xdr:colOff>
      <xdr:row>5</xdr:row>
      <xdr:rowOff>76200</xdr:rowOff>
    </xdr:from>
    <xdr:to>
      <xdr:col>3</xdr:col>
      <xdr:colOff>495300</xdr:colOff>
      <xdr:row>13</xdr:row>
      <xdr:rowOff>130570</xdr:rowOff>
    </xdr:to>
    <xdr:pic>
      <xdr:nvPicPr>
        <xdr:cNvPr id="4" name="Imagen 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58" r="20869"/>
        <a:stretch/>
      </xdr:blipFill>
      <xdr:spPr bwMode="auto">
        <a:xfrm>
          <a:off x="923926" y="1143000"/>
          <a:ext cx="1857374" cy="157837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161925</xdr:colOff>
      <xdr:row>95</xdr:row>
      <xdr:rowOff>114300</xdr:rowOff>
    </xdr:from>
    <xdr:to>
      <xdr:col>3</xdr:col>
      <xdr:colOff>28575</xdr:colOff>
      <xdr:row>102</xdr:row>
      <xdr:rowOff>171450</xdr:rowOff>
    </xdr:to>
    <xdr:pic>
      <xdr:nvPicPr>
        <xdr:cNvPr id="7" name="Imagen 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645" t="23344" r="59895" b="16475"/>
        <a:stretch/>
      </xdr:blipFill>
      <xdr:spPr bwMode="auto">
        <a:xfrm>
          <a:off x="923925" y="18516600"/>
          <a:ext cx="1390650" cy="139065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123826</xdr:colOff>
      <xdr:row>37</xdr:row>
      <xdr:rowOff>95250</xdr:rowOff>
    </xdr:from>
    <xdr:to>
      <xdr:col>3</xdr:col>
      <xdr:colOff>47626</xdr:colOff>
      <xdr:row>44</xdr:row>
      <xdr:rowOff>19050</xdr:rowOff>
    </xdr:to>
    <xdr:pic>
      <xdr:nvPicPr>
        <xdr:cNvPr id="8" name="Imagen 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58" r="20869"/>
        <a:stretch/>
      </xdr:blipFill>
      <xdr:spPr bwMode="auto">
        <a:xfrm>
          <a:off x="885826" y="7353300"/>
          <a:ext cx="1447800" cy="125730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123826</xdr:colOff>
      <xdr:row>156</xdr:row>
      <xdr:rowOff>95250</xdr:rowOff>
    </xdr:from>
    <xdr:ext cx="1447800" cy="1257300"/>
    <xdr:pic>
      <xdr:nvPicPr>
        <xdr:cNvPr id="6" name="Imagen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258" r="20869"/>
        <a:stretch/>
      </xdr:blipFill>
      <xdr:spPr bwMode="auto">
        <a:xfrm>
          <a:off x="885826" y="7353300"/>
          <a:ext cx="1447800" cy="125730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10"/>
  <sheetViews>
    <sheetView tabSelected="1" topLeftCell="A133" workbookViewId="0">
      <selection activeCell="O145" sqref="O145"/>
    </sheetView>
  </sheetViews>
  <sheetFormatPr baseColWidth="10" defaultRowHeight="15" x14ac:dyDescent="0.25"/>
  <cols>
    <col min="12" max="12" width="10" customWidth="1"/>
    <col min="13" max="13" width="4.42578125" customWidth="1"/>
  </cols>
  <sheetData>
    <row r="1" spans="2:13" ht="15.75" thickBot="1" x14ac:dyDescent="0.3"/>
    <row r="2" spans="2:13" ht="15.75" thickTop="1" x14ac:dyDescent="0.25"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</row>
    <row r="3" spans="2:13" ht="19.5" x14ac:dyDescent="0.3">
      <c r="B3" s="32"/>
      <c r="C3" s="60" t="s">
        <v>31</v>
      </c>
      <c r="D3" s="60"/>
      <c r="E3" s="60"/>
      <c r="F3" s="60"/>
      <c r="G3" s="60"/>
      <c r="H3" s="60"/>
      <c r="I3" s="60"/>
      <c r="J3" s="60"/>
      <c r="K3" s="60"/>
      <c r="L3" s="60"/>
      <c r="M3" s="33"/>
    </row>
    <row r="4" spans="2:13" ht="18" customHeight="1" x14ac:dyDescent="0.25">
      <c r="B4" s="32"/>
      <c r="C4" s="3"/>
      <c r="D4" s="54" t="s">
        <v>27</v>
      </c>
      <c r="E4" s="3"/>
      <c r="F4" s="3"/>
      <c r="G4" s="3"/>
      <c r="H4" s="3"/>
      <c r="I4" s="3"/>
      <c r="J4" s="3"/>
      <c r="K4" s="3"/>
      <c r="L4" s="3"/>
      <c r="M4" s="33"/>
    </row>
    <row r="5" spans="2:13" x14ac:dyDescent="0.25">
      <c r="B5" s="32"/>
      <c r="C5" s="3"/>
      <c r="D5" s="3"/>
      <c r="E5" s="10" t="s">
        <v>8</v>
      </c>
      <c r="F5" s="10" t="s">
        <v>9</v>
      </c>
      <c r="G5" s="11" t="s">
        <v>10</v>
      </c>
      <c r="H5" s="11" t="s">
        <v>11</v>
      </c>
      <c r="I5" s="11" t="s">
        <v>12</v>
      </c>
      <c r="J5" s="11" t="s">
        <v>13</v>
      </c>
      <c r="K5" s="11" t="s">
        <v>14</v>
      </c>
      <c r="L5" s="12" t="s">
        <v>15</v>
      </c>
      <c r="M5" s="33"/>
    </row>
    <row r="6" spans="2:13" x14ac:dyDescent="0.25">
      <c r="B6" s="32"/>
      <c r="C6" s="3"/>
      <c r="D6" s="22" t="s">
        <v>23</v>
      </c>
      <c r="E6" s="13">
        <v>0.5</v>
      </c>
      <c r="F6" s="14">
        <v>2</v>
      </c>
      <c r="G6" s="15">
        <f>0.5385+0.4</f>
        <v>0.9385</v>
      </c>
      <c r="H6" s="15">
        <f>+IF(E6=5/8,1.552,IF(E6=1/2,0.994,IF(E6=3/8,0.56,IF(E6=1/4,0.25))))</f>
        <v>0.99399999999999999</v>
      </c>
      <c r="I6" s="15">
        <f>+F6*G6*H6</f>
        <v>1.8657379999999999</v>
      </c>
      <c r="J6" s="15">
        <f>+I6*0.05</f>
        <v>9.3286900000000006E-2</v>
      </c>
      <c r="K6" s="16">
        <f>+J6+I6</f>
        <v>1.9590249</v>
      </c>
      <c r="L6" s="17"/>
      <c r="M6" s="33"/>
    </row>
    <row r="7" spans="2:13" x14ac:dyDescent="0.25">
      <c r="B7" s="32"/>
      <c r="C7" s="3"/>
      <c r="D7" s="22" t="s">
        <v>23</v>
      </c>
      <c r="E7" s="13">
        <v>0.5</v>
      </c>
      <c r="F7" s="14">
        <v>2</v>
      </c>
      <c r="G7" s="15">
        <f>0.9+0.4</f>
        <v>1.3</v>
      </c>
      <c r="H7" s="15">
        <f t="shared" ref="H7:H13" si="0">+IF(E7=5/8,1.552,IF(E7=1/2,0.994,IF(E7=3/8,0.56,IF(E7=1/4,0.25))))</f>
        <v>0.99399999999999999</v>
      </c>
      <c r="I7" s="15">
        <f t="shared" ref="I7:I13" si="1">+F7*G7*H7</f>
        <v>2.5844</v>
      </c>
      <c r="J7" s="15">
        <f t="shared" ref="J7:J13" si="2">+I7*0.05</f>
        <v>0.12922</v>
      </c>
      <c r="K7" s="16">
        <f t="shared" ref="K7:K13" si="3">+J7+I7</f>
        <v>2.7136200000000001</v>
      </c>
      <c r="L7" s="17"/>
      <c r="M7" s="33"/>
    </row>
    <row r="8" spans="2:13" x14ac:dyDescent="0.25">
      <c r="B8" s="32"/>
      <c r="C8" s="3"/>
      <c r="D8" s="22" t="s">
        <v>23</v>
      </c>
      <c r="E8" s="13">
        <v>0.5</v>
      </c>
      <c r="F8" s="14">
        <v>2</v>
      </c>
      <c r="G8" s="15">
        <f>1.118+0.4</f>
        <v>1.5180000000000002</v>
      </c>
      <c r="H8" s="15">
        <f t="shared" si="0"/>
        <v>0.99399999999999999</v>
      </c>
      <c r="I8" s="15">
        <f t="shared" si="1"/>
        <v>3.0177840000000002</v>
      </c>
      <c r="J8" s="15">
        <f t="shared" si="2"/>
        <v>0.15088920000000003</v>
      </c>
      <c r="K8" s="16">
        <f t="shared" si="3"/>
        <v>3.1686732000000002</v>
      </c>
      <c r="L8" s="17"/>
      <c r="M8" s="33"/>
    </row>
    <row r="9" spans="2:13" x14ac:dyDescent="0.25">
      <c r="B9" s="32"/>
      <c r="C9" s="3"/>
      <c r="D9" s="22" t="s">
        <v>23</v>
      </c>
      <c r="E9" s="13">
        <v>0.5</v>
      </c>
      <c r="F9" s="14">
        <v>2</v>
      </c>
      <c r="G9" s="15">
        <f>1.2689+0.4</f>
        <v>1.6688999999999998</v>
      </c>
      <c r="H9" s="15">
        <f t="shared" si="0"/>
        <v>0.99399999999999999</v>
      </c>
      <c r="I9" s="15">
        <f t="shared" si="1"/>
        <v>3.3177731999999995</v>
      </c>
      <c r="J9" s="15">
        <f t="shared" si="2"/>
        <v>0.16588865999999999</v>
      </c>
      <c r="K9" s="16">
        <f t="shared" si="3"/>
        <v>3.4836618599999993</v>
      </c>
      <c r="L9" s="17"/>
      <c r="M9" s="33"/>
    </row>
    <row r="10" spans="2:13" x14ac:dyDescent="0.25">
      <c r="B10" s="32"/>
      <c r="C10" s="3"/>
      <c r="D10" s="22" t="s">
        <v>23</v>
      </c>
      <c r="E10" s="13">
        <v>0.5</v>
      </c>
      <c r="F10" s="14">
        <v>4</v>
      </c>
      <c r="G10" s="15">
        <f>0.5071+0.2+0.2</f>
        <v>0.90710000000000002</v>
      </c>
      <c r="H10" s="15">
        <f t="shared" si="0"/>
        <v>0.99399999999999999</v>
      </c>
      <c r="I10" s="15">
        <f t="shared" si="1"/>
        <v>3.6066296000000002</v>
      </c>
      <c r="J10" s="15">
        <f t="shared" si="2"/>
        <v>0.18033148000000002</v>
      </c>
      <c r="K10" s="16">
        <f t="shared" si="3"/>
        <v>3.7869610800000002</v>
      </c>
      <c r="L10" s="17"/>
      <c r="M10" s="33"/>
    </row>
    <row r="11" spans="2:13" x14ac:dyDescent="0.25">
      <c r="B11" s="32"/>
      <c r="C11" s="3"/>
      <c r="D11" s="22" t="s">
        <v>23</v>
      </c>
      <c r="E11" s="13">
        <v>0.5</v>
      </c>
      <c r="F11" s="14">
        <v>4</v>
      </c>
      <c r="G11" s="15">
        <f>0.4356+0.2+0.2</f>
        <v>0.8355999999999999</v>
      </c>
      <c r="H11" s="15">
        <f t="shared" si="0"/>
        <v>0.99399999999999999</v>
      </c>
      <c r="I11" s="15">
        <f t="shared" si="1"/>
        <v>3.3223455999999998</v>
      </c>
      <c r="J11" s="15">
        <f t="shared" si="2"/>
        <v>0.16611728000000001</v>
      </c>
      <c r="K11" s="16">
        <f t="shared" si="3"/>
        <v>3.4884628799999997</v>
      </c>
      <c r="L11" s="17"/>
      <c r="M11" s="33"/>
    </row>
    <row r="12" spans="2:13" x14ac:dyDescent="0.25">
      <c r="B12" s="32"/>
      <c r="C12" s="3"/>
      <c r="D12" s="22" t="s">
        <v>23</v>
      </c>
      <c r="E12" s="13">
        <v>0.5</v>
      </c>
      <c r="F12" s="14">
        <v>4</v>
      </c>
      <c r="G12" s="15">
        <f>0.4079+0.2+0.2</f>
        <v>0.80790000000000006</v>
      </c>
      <c r="H12" s="15">
        <f t="shared" si="0"/>
        <v>0.99399999999999999</v>
      </c>
      <c r="I12" s="15">
        <f t="shared" si="1"/>
        <v>3.2122104</v>
      </c>
      <c r="J12" s="15">
        <f t="shared" si="2"/>
        <v>0.16061052000000001</v>
      </c>
      <c r="K12" s="16">
        <f t="shared" si="3"/>
        <v>3.3728209200000001</v>
      </c>
      <c r="L12" s="17"/>
      <c r="M12" s="33"/>
    </row>
    <row r="13" spans="2:13" x14ac:dyDescent="0.25">
      <c r="B13" s="32"/>
      <c r="C13" s="3"/>
      <c r="D13" s="22" t="s">
        <v>23</v>
      </c>
      <c r="E13" s="13">
        <v>0.5</v>
      </c>
      <c r="F13" s="14">
        <v>2</v>
      </c>
      <c r="G13" s="15">
        <f>0.4+0.2+0.2</f>
        <v>0.8</v>
      </c>
      <c r="H13" s="15">
        <f t="shared" si="0"/>
        <v>0.99399999999999999</v>
      </c>
      <c r="I13" s="15">
        <f t="shared" si="1"/>
        <v>1.5904</v>
      </c>
      <c r="J13" s="15">
        <f t="shared" si="2"/>
        <v>7.9520000000000007E-2</v>
      </c>
      <c r="K13" s="16">
        <f t="shared" si="3"/>
        <v>1.6699200000000001</v>
      </c>
      <c r="L13" s="18">
        <f>+SUM(K6:K13)</f>
        <v>23.643144840000001</v>
      </c>
      <c r="M13" s="33"/>
    </row>
    <row r="14" spans="2:13" x14ac:dyDescent="0.25">
      <c r="B14" s="32"/>
      <c r="C14" s="3"/>
      <c r="D14" s="3"/>
      <c r="E14" s="42"/>
      <c r="F14" s="43"/>
      <c r="G14" s="44"/>
      <c r="H14" s="44"/>
      <c r="I14" s="44"/>
      <c r="J14" s="44"/>
      <c r="K14" s="43"/>
      <c r="L14" s="45"/>
      <c r="M14" s="33"/>
    </row>
    <row r="15" spans="2:13" x14ac:dyDescent="0.25">
      <c r="B15" s="32"/>
      <c r="C15" s="3"/>
      <c r="D15" s="3"/>
      <c r="E15" s="10" t="s">
        <v>8</v>
      </c>
      <c r="F15" s="10" t="s">
        <v>9</v>
      </c>
      <c r="G15" s="11" t="s">
        <v>10</v>
      </c>
      <c r="H15" s="11" t="s">
        <v>11</v>
      </c>
      <c r="I15" s="11" t="s">
        <v>12</v>
      </c>
      <c r="J15" s="11" t="s">
        <v>13</v>
      </c>
      <c r="K15" s="11" t="s">
        <v>14</v>
      </c>
      <c r="L15" s="12" t="s">
        <v>15</v>
      </c>
      <c r="M15" s="33"/>
    </row>
    <row r="16" spans="2:13" x14ac:dyDescent="0.25">
      <c r="B16" s="32"/>
      <c r="C16" s="3"/>
      <c r="D16" s="22" t="s">
        <v>24</v>
      </c>
      <c r="E16" s="13">
        <v>0.5</v>
      </c>
      <c r="F16" s="14">
        <v>2</v>
      </c>
      <c r="G16" s="15">
        <f>0.5385+0.2+0.2</f>
        <v>0.93849999999999989</v>
      </c>
      <c r="H16" s="15">
        <f>+IF(E16=5/8,1.552,IF(E16=1/2,0.994,IF(E16=3/8,0.56,IF(E16=1/4,0.25))))</f>
        <v>0.99399999999999999</v>
      </c>
      <c r="I16" s="15">
        <f t="shared" ref="I16:I23" si="4">+F16*G16*H16</f>
        <v>1.8657379999999997</v>
      </c>
      <c r="J16" s="15">
        <f>+I16*0.05</f>
        <v>9.3286899999999992E-2</v>
      </c>
      <c r="K16" s="15">
        <f>+J16+I16</f>
        <v>1.9590248999999997</v>
      </c>
      <c r="L16" s="17"/>
      <c r="M16" s="33"/>
    </row>
    <row r="17" spans="2:13" x14ac:dyDescent="0.25">
      <c r="B17" s="32"/>
      <c r="C17" s="3"/>
      <c r="D17" s="22" t="s">
        <v>24</v>
      </c>
      <c r="E17" s="13">
        <v>0.5</v>
      </c>
      <c r="F17" s="14">
        <v>2</v>
      </c>
      <c r="G17" s="15">
        <f>0.9+0.2+0.2</f>
        <v>1.3</v>
      </c>
      <c r="H17" s="15">
        <f t="shared" ref="H17:H23" si="5">+IF(E17=5/8,1.552,IF(E17=1/2,0.994,IF(E17=3/8,0.56,IF(E17=1/4,0.25))))</f>
        <v>0.99399999999999999</v>
      </c>
      <c r="I17" s="15">
        <f t="shared" si="4"/>
        <v>2.5844</v>
      </c>
      <c r="J17" s="15">
        <f t="shared" ref="J17:J23" si="6">+I17*0.05</f>
        <v>0.12922</v>
      </c>
      <c r="K17" s="15">
        <f t="shared" ref="K17:K23" si="7">+J17+I17</f>
        <v>2.7136200000000001</v>
      </c>
      <c r="L17" s="17"/>
      <c r="M17" s="33"/>
    </row>
    <row r="18" spans="2:13" x14ac:dyDescent="0.25">
      <c r="B18" s="32"/>
      <c r="C18" s="3"/>
      <c r="D18" s="22" t="s">
        <v>24</v>
      </c>
      <c r="E18" s="13">
        <v>0.5</v>
      </c>
      <c r="F18" s="14">
        <v>2</v>
      </c>
      <c r="G18" s="15">
        <f>1.118+0.2+0.2</f>
        <v>1.518</v>
      </c>
      <c r="H18" s="15">
        <f t="shared" si="5"/>
        <v>0.99399999999999999</v>
      </c>
      <c r="I18" s="15">
        <f t="shared" si="4"/>
        <v>3.0177839999999998</v>
      </c>
      <c r="J18" s="15">
        <f t="shared" si="6"/>
        <v>0.1508892</v>
      </c>
      <c r="K18" s="15">
        <f t="shared" si="7"/>
        <v>3.1686731999999997</v>
      </c>
      <c r="L18" s="17"/>
      <c r="M18" s="33"/>
    </row>
    <row r="19" spans="2:13" x14ac:dyDescent="0.25">
      <c r="B19" s="32"/>
      <c r="C19" s="3"/>
      <c r="D19" s="22" t="s">
        <v>24</v>
      </c>
      <c r="E19" s="13">
        <v>0.5</v>
      </c>
      <c r="F19" s="14">
        <v>2</v>
      </c>
      <c r="G19" s="15">
        <f>1.2689+0.2+0.2</f>
        <v>1.6688999999999998</v>
      </c>
      <c r="H19" s="15">
        <f t="shared" si="5"/>
        <v>0.99399999999999999</v>
      </c>
      <c r="I19" s="15">
        <f t="shared" si="4"/>
        <v>3.3177731999999995</v>
      </c>
      <c r="J19" s="15">
        <f t="shared" si="6"/>
        <v>0.16588865999999999</v>
      </c>
      <c r="K19" s="15">
        <f t="shared" si="7"/>
        <v>3.4836618599999993</v>
      </c>
      <c r="L19" s="17"/>
      <c r="M19" s="33"/>
    </row>
    <row r="20" spans="2:13" x14ac:dyDescent="0.25">
      <c r="B20" s="32"/>
      <c r="C20" s="3"/>
      <c r="D20" s="22" t="s">
        <v>24</v>
      </c>
      <c r="E20" s="13">
        <v>0.5</v>
      </c>
      <c r="F20" s="14">
        <v>4</v>
      </c>
      <c r="G20" s="15">
        <f>0.5071+0.2+0.2</f>
        <v>0.90710000000000002</v>
      </c>
      <c r="H20" s="15">
        <f t="shared" si="5"/>
        <v>0.99399999999999999</v>
      </c>
      <c r="I20" s="15">
        <f t="shared" si="4"/>
        <v>3.6066296000000002</v>
      </c>
      <c r="J20" s="15">
        <f t="shared" si="6"/>
        <v>0.18033148000000002</v>
      </c>
      <c r="K20" s="15">
        <f t="shared" si="7"/>
        <v>3.7869610800000002</v>
      </c>
      <c r="L20" s="17"/>
      <c r="M20" s="33"/>
    </row>
    <row r="21" spans="2:13" x14ac:dyDescent="0.25">
      <c r="B21" s="32"/>
      <c r="C21" s="3"/>
      <c r="D21" s="22" t="s">
        <v>24</v>
      </c>
      <c r="E21" s="13">
        <v>0.5</v>
      </c>
      <c r="F21" s="14">
        <v>4</v>
      </c>
      <c r="G21" s="15">
        <f>0.4356+0.2+0.2</f>
        <v>0.8355999999999999</v>
      </c>
      <c r="H21" s="15">
        <f t="shared" si="5"/>
        <v>0.99399999999999999</v>
      </c>
      <c r="I21" s="15">
        <f t="shared" si="4"/>
        <v>3.3223455999999998</v>
      </c>
      <c r="J21" s="15">
        <f t="shared" si="6"/>
        <v>0.16611728000000001</v>
      </c>
      <c r="K21" s="15">
        <f t="shared" si="7"/>
        <v>3.4884628799999997</v>
      </c>
      <c r="L21" s="17"/>
      <c r="M21" s="33"/>
    </row>
    <row r="22" spans="2:13" x14ac:dyDescent="0.25">
      <c r="B22" s="32"/>
      <c r="C22" s="3"/>
      <c r="D22" s="22" t="s">
        <v>24</v>
      </c>
      <c r="E22" s="13">
        <v>0.5</v>
      </c>
      <c r="F22" s="14">
        <v>4</v>
      </c>
      <c r="G22" s="15">
        <f>0.4079+0.2+0.2</f>
        <v>0.80790000000000006</v>
      </c>
      <c r="H22" s="15">
        <f t="shared" si="5"/>
        <v>0.99399999999999999</v>
      </c>
      <c r="I22" s="15">
        <f t="shared" si="4"/>
        <v>3.2122104</v>
      </c>
      <c r="J22" s="15">
        <f t="shared" si="6"/>
        <v>0.16061052000000001</v>
      </c>
      <c r="K22" s="15">
        <f t="shared" si="7"/>
        <v>3.3728209200000001</v>
      </c>
      <c r="L22" s="17"/>
      <c r="M22" s="33"/>
    </row>
    <row r="23" spans="2:13" x14ac:dyDescent="0.25">
      <c r="B23" s="32"/>
      <c r="C23" s="3"/>
      <c r="D23" s="22" t="s">
        <v>24</v>
      </c>
      <c r="E23" s="13">
        <v>0.5</v>
      </c>
      <c r="F23" s="14">
        <v>2</v>
      </c>
      <c r="G23" s="15">
        <f>0.4+0.2+0.2</f>
        <v>0.8</v>
      </c>
      <c r="H23" s="15">
        <f t="shared" si="5"/>
        <v>0.99399999999999999</v>
      </c>
      <c r="I23" s="15">
        <f t="shared" si="4"/>
        <v>1.5904</v>
      </c>
      <c r="J23" s="15">
        <f t="shared" si="6"/>
        <v>7.9520000000000007E-2</v>
      </c>
      <c r="K23" s="15">
        <f t="shared" si="7"/>
        <v>1.6699200000000001</v>
      </c>
      <c r="L23" s="18">
        <f>+SUM(K16:K23)</f>
        <v>23.643144839999998</v>
      </c>
      <c r="M23" s="33"/>
    </row>
    <row r="24" spans="2:13" x14ac:dyDescent="0.25">
      <c r="B24" s="32"/>
      <c r="C24" s="3"/>
      <c r="D24" s="22"/>
      <c r="E24" s="42"/>
      <c r="F24" s="43"/>
      <c r="G24" s="44"/>
      <c r="H24" s="44"/>
      <c r="I24" s="44"/>
      <c r="J24" s="44"/>
      <c r="K24" s="44"/>
      <c r="L24" s="45"/>
      <c r="M24" s="33"/>
    </row>
    <row r="25" spans="2:13" x14ac:dyDescent="0.25">
      <c r="B25" s="32"/>
      <c r="C25" s="3"/>
      <c r="E25" s="55" t="s">
        <v>28</v>
      </c>
      <c r="F25" s="43"/>
      <c r="G25" s="44"/>
      <c r="H25" s="44"/>
      <c r="I25" s="44"/>
      <c r="J25" s="44"/>
      <c r="K25" s="44"/>
      <c r="L25" s="45"/>
      <c r="M25" s="33"/>
    </row>
    <row r="26" spans="2:13" x14ac:dyDescent="0.25">
      <c r="B26" s="32"/>
      <c r="C26" s="3"/>
      <c r="D26" s="22"/>
      <c r="E26" s="10" t="s">
        <v>8</v>
      </c>
      <c r="F26" s="10" t="s">
        <v>9</v>
      </c>
      <c r="G26" s="11" t="s">
        <v>10</v>
      </c>
      <c r="H26" s="11" t="s">
        <v>11</v>
      </c>
      <c r="I26" s="11" t="s">
        <v>12</v>
      </c>
      <c r="J26" s="11" t="s">
        <v>13</v>
      </c>
      <c r="K26" s="11" t="s">
        <v>14</v>
      </c>
      <c r="L26" s="12" t="s">
        <v>15</v>
      </c>
      <c r="M26" s="33"/>
    </row>
    <row r="27" spans="2:13" x14ac:dyDescent="0.25">
      <c r="B27" s="32"/>
      <c r="C27" s="3"/>
      <c r="D27" s="22"/>
      <c r="E27" s="13">
        <v>0.5</v>
      </c>
      <c r="F27" s="14">
        <v>4</v>
      </c>
      <c r="G27" s="15">
        <f>1.32+0.2+0.2</f>
        <v>1.72</v>
      </c>
      <c r="H27" s="15">
        <f>+IF(E27=5/8,1.552,IF(E27=1/2,0.994,IF(E27=3/8,0.56,IF(E27=1/4,0.25))))</f>
        <v>0.99399999999999999</v>
      </c>
      <c r="I27" s="15">
        <f t="shared" ref="I27:I28" si="8">+F27*G27*H27</f>
        <v>6.8387199999999995</v>
      </c>
      <c r="J27" s="15">
        <f>+I27*0.05</f>
        <v>0.34193600000000002</v>
      </c>
      <c r="K27" s="15">
        <f>+J27+I27</f>
        <v>7.180655999999999</v>
      </c>
      <c r="L27" s="17"/>
      <c r="M27" s="33"/>
    </row>
    <row r="28" spans="2:13" x14ac:dyDescent="0.25">
      <c r="B28" s="32"/>
      <c r="C28" s="3"/>
      <c r="D28" s="22"/>
      <c r="E28" s="13">
        <v>0.5</v>
      </c>
      <c r="F28" s="14">
        <v>4</v>
      </c>
      <c r="G28" s="15">
        <f>1.32+0.2+0.2</f>
        <v>1.72</v>
      </c>
      <c r="H28" s="15">
        <f t="shared" ref="H28" si="9">+IF(E28=5/8,1.552,IF(E28=1/2,0.994,IF(E28=3/8,0.56,IF(E28=1/4,0.25))))</f>
        <v>0.99399999999999999</v>
      </c>
      <c r="I28" s="15">
        <f t="shared" si="8"/>
        <v>6.8387199999999995</v>
      </c>
      <c r="J28" s="15">
        <f t="shared" ref="J28" si="10">+I28*0.05</f>
        <v>0.34193600000000002</v>
      </c>
      <c r="K28" s="15">
        <f t="shared" ref="K28" si="11">+J28+I28</f>
        <v>7.180655999999999</v>
      </c>
      <c r="L28" s="18">
        <f>SUM(K27:K28)</f>
        <v>14.361311999999998</v>
      </c>
      <c r="M28" s="33"/>
    </row>
    <row r="29" spans="2:13" x14ac:dyDescent="0.25">
      <c r="B29" s="32"/>
      <c r="C29" s="3"/>
      <c r="D29" s="22"/>
      <c r="E29" s="42"/>
      <c r="F29" s="43"/>
      <c r="G29" s="44"/>
      <c r="H29" s="44"/>
      <c r="I29" s="44"/>
      <c r="J29" s="44"/>
      <c r="K29" s="44"/>
      <c r="L29" s="45"/>
      <c r="M29" s="33"/>
    </row>
    <row r="30" spans="2:13" x14ac:dyDescent="0.25">
      <c r="B30" s="32"/>
      <c r="C30" s="3"/>
      <c r="D30" s="3"/>
      <c r="E30" s="42"/>
      <c r="F30" s="43"/>
      <c r="G30" s="44"/>
      <c r="H30" s="44"/>
      <c r="I30" s="44"/>
      <c r="J30" s="44"/>
      <c r="K30" s="43"/>
      <c r="L30" s="45"/>
      <c r="M30" s="33"/>
    </row>
    <row r="31" spans="2:13" x14ac:dyDescent="0.25">
      <c r="B31" s="34"/>
      <c r="C31" s="25"/>
      <c r="D31" s="25"/>
      <c r="E31" s="25"/>
      <c r="F31" s="25"/>
      <c r="G31" s="26"/>
      <c r="H31" s="7" t="s">
        <v>18</v>
      </c>
      <c r="I31" s="27">
        <f>L13+L23+L28</f>
        <v>61.647601679999994</v>
      </c>
      <c r="J31" s="28" t="s">
        <v>19</v>
      </c>
      <c r="K31" s="25"/>
      <c r="L31" s="25"/>
      <c r="M31" s="35"/>
    </row>
    <row r="32" spans="2:13" ht="15.75" thickBot="1" x14ac:dyDescent="0.3">
      <c r="B32" s="36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8"/>
    </row>
    <row r="33" spans="2:15" ht="15.75" thickTop="1" x14ac:dyDescent="0.25"/>
    <row r="34" spans="2:15" ht="15.75" thickBot="1" x14ac:dyDescent="0.3"/>
    <row r="35" spans="2:15" ht="15.75" thickTop="1" x14ac:dyDescent="0.25">
      <c r="B35" s="29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1"/>
    </row>
    <row r="36" spans="2:15" ht="19.5" x14ac:dyDescent="0.3">
      <c r="B36" s="32"/>
      <c r="C36" s="60" t="s">
        <v>29</v>
      </c>
      <c r="D36" s="60"/>
      <c r="E36" s="60"/>
      <c r="F36" s="60"/>
      <c r="G36" s="60"/>
      <c r="H36" s="60"/>
      <c r="I36" s="60"/>
      <c r="J36" s="60"/>
      <c r="K36" s="60"/>
      <c r="L36" s="60"/>
      <c r="M36" s="50"/>
      <c r="N36" s="48"/>
    </row>
    <row r="37" spans="2:15" x14ac:dyDescent="0.25">
      <c r="B37" s="32"/>
      <c r="D37" s="53" t="s">
        <v>21</v>
      </c>
      <c r="E37" s="3"/>
      <c r="F37" s="3"/>
      <c r="G37" s="3"/>
      <c r="H37" s="3"/>
      <c r="I37" s="3"/>
      <c r="J37" s="3"/>
      <c r="K37" s="3"/>
      <c r="L37" s="3"/>
      <c r="M37" s="33"/>
    </row>
    <row r="38" spans="2:15" x14ac:dyDescent="0.25">
      <c r="B38" s="32"/>
      <c r="C38" s="3"/>
      <c r="D38" s="40" t="s">
        <v>22</v>
      </c>
      <c r="E38" s="3"/>
      <c r="F38" s="3"/>
      <c r="G38" s="3"/>
      <c r="H38" s="3"/>
      <c r="I38" s="3"/>
      <c r="J38" s="3"/>
      <c r="K38" s="3"/>
      <c r="L38" s="3"/>
      <c r="M38" s="33"/>
    </row>
    <row r="39" spans="2:15" x14ac:dyDescent="0.25">
      <c r="B39" s="32"/>
      <c r="C39" s="3"/>
      <c r="D39" s="40"/>
      <c r="E39" s="4" t="s">
        <v>0</v>
      </c>
      <c r="F39" s="4" t="s">
        <v>1</v>
      </c>
      <c r="G39" s="4" t="s">
        <v>2</v>
      </c>
      <c r="H39" s="4" t="s">
        <v>3</v>
      </c>
      <c r="I39" s="3"/>
      <c r="J39" s="40"/>
      <c r="K39" s="40"/>
      <c r="L39" s="40"/>
      <c r="M39" s="40"/>
      <c r="N39" s="48"/>
    </row>
    <row r="40" spans="2:15" x14ac:dyDescent="0.25">
      <c r="B40" s="32"/>
      <c r="C40" s="3"/>
      <c r="D40" s="40"/>
      <c r="E40" s="49">
        <f>1.2+0.15+0.15</f>
        <v>1.4999999999999998</v>
      </c>
      <c r="F40" s="49">
        <f>PI()*(E40/2)^2</f>
        <v>1.767145867644258</v>
      </c>
      <c r="G40" s="49">
        <v>0.2</v>
      </c>
      <c r="H40" s="49">
        <f>+G40*F40</f>
        <v>0.35342917352885161</v>
      </c>
      <c r="I40" s="3"/>
      <c r="J40" s="5"/>
      <c r="K40" s="5"/>
      <c r="L40" s="5"/>
      <c r="M40" s="5"/>
      <c r="N40" s="48"/>
    </row>
    <row r="41" spans="2:15" x14ac:dyDescent="0.25">
      <c r="B41" s="32"/>
      <c r="C41" s="3"/>
      <c r="D41" s="40" t="s">
        <v>4</v>
      </c>
      <c r="E41" s="3"/>
      <c r="F41" s="3"/>
      <c r="G41" s="3"/>
      <c r="H41" s="3"/>
      <c r="I41" s="3"/>
      <c r="J41" s="3"/>
      <c r="K41" s="3"/>
      <c r="L41" s="3"/>
      <c r="M41" s="33"/>
    </row>
    <row r="42" spans="2:15" x14ac:dyDescent="0.25">
      <c r="B42" s="32"/>
      <c r="C42" s="3"/>
      <c r="D42" s="40"/>
      <c r="E42" s="4" t="s">
        <v>32</v>
      </c>
      <c r="F42" s="4" t="s">
        <v>33</v>
      </c>
      <c r="G42" s="4" t="s">
        <v>5</v>
      </c>
      <c r="H42" s="4" t="s">
        <v>34</v>
      </c>
      <c r="I42" s="4" t="s">
        <v>3</v>
      </c>
      <c r="J42" s="3"/>
      <c r="K42" s="39"/>
      <c r="L42" s="3"/>
      <c r="M42" s="33"/>
    </row>
    <row r="43" spans="2:15" x14ac:dyDescent="0.25">
      <c r="B43" s="32"/>
      <c r="C43" s="3"/>
      <c r="D43" s="40"/>
      <c r="E43" s="49">
        <v>1.2</v>
      </c>
      <c r="F43" s="49">
        <v>1.5</v>
      </c>
      <c r="G43" s="49">
        <v>2</v>
      </c>
      <c r="H43" s="49">
        <f>(PI()*((F43/2)^2))-(PI()*((E43/2)^2))</f>
        <v>0.63617251235193306</v>
      </c>
      <c r="I43" s="49">
        <f>G43*H43</f>
        <v>1.2723450247038661</v>
      </c>
      <c r="J43" s="3"/>
      <c r="K43" s="3"/>
      <c r="L43" s="3"/>
      <c r="M43" s="33"/>
      <c r="N43">
        <f>F43*2</f>
        <v>3</v>
      </c>
    </row>
    <row r="44" spans="2:15" x14ac:dyDescent="0.25">
      <c r="B44" s="32"/>
      <c r="C44" s="3"/>
      <c r="D44" s="40" t="s">
        <v>26</v>
      </c>
      <c r="E44" s="3"/>
      <c r="F44" s="3"/>
      <c r="G44" s="3"/>
      <c r="H44" s="3"/>
      <c r="I44" s="3"/>
      <c r="J44" s="3"/>
      <c r="K44" s="3"/>
      <c r="L44" s="3"/>
      <c r="M44" s="33"/>
      <c r="N44">
        <f>F43*G43*H43</f>
        <v>1.9085175370557992</v>
      </c>
      <c r="O44">
        <f>((PI()*0.75^2))-(PI()*0.6^2)</f>
        <v>0.63617251235193306</v>
      </c>
    </row>
    <row r="45" spans="2:15" x14ac:dyDescent="0.25">
      <c r="B45" s="32"/>
      <c r="C45" s="3"/>
      <c r="D45" s="3"/>
      <c r="E45" s="4" t="s">
        <v>0</v>
      </c>
      <c r="F45" s="4" t="s">
        <v>1</v>
      </c>
      <c r="G45" s="4" t="s">
        <v>2</v>
      </c>
      <c r="H45" s="4" t="s">
        <v>3</v>
      </c>
      <c r="I45" s="3"/>
      <c r="J45" s="3"/>
      <c r="K45" s="3"/>
      <c r="L45" s="3"/>
      <c r="M45" s="33"/>
      <c r="O45">
        <f>3.1314*1.2^2</f>
        <v>4.5092160000000003</v>
      </c>
    </row>
    <row r="46" spans="2:15" x14ac:dyDescent="0.25">
      <c r="B46" s="32"/>
      <c r="C46" s="3"/>
      <c r="D46" s="3"/>
      <c r="E46" s="49">
        <f>1.5+0.05+0.05</f>
        <v>1.6</v>
      </c>
      <c r="F46" s="49">
        <f>PI()*E46^2/4</f>
        <v>2.0106192982974678</v>
      </c>
      <c r="G46" s="49">
        <v>0.2</v>
      </c>
      <c r="H46" s="49">
        <f>+G46*F46</f>
        <v>0.4021238596594936</v>
      </c>
      <c r="I46" s="3"/>
      <c r="J46" s="3"/>
      <c r="K46" s="3"/>
      <c r="L46" s="3"/>
      <c r="M46" s="33"/>
    </row>
    <row r="47" spans="2:15" x14ac:dyDescent="0.25">
      <c r="B47" s="32"/>
      <c r="C47" s="3"/>
      <c r="D47" s="3"/>
      <c r="E47" s="5"/>
      <c r="F47" s="5"/>
      <c r="G47" s="5"/>
      <c r="H47" s="5"/>
      <c r="I47" s="3"/>
      <c r="J47" s="3"/>
      <c r="K47" s="3"/>
      <c r="L47" s="3"/>
      <c r="M47" s="33"/>
    </row>
    <row r="48" spans="2:15" x14ac:dyDescent="0.25">
      <c r="B48" s="32"/>
      <c r="C48" s="3"/>
      <c r="D48" s="3"/>
      <c r="E48" s="3"/>
      <c r="F48" s="2"/>
      <c r="G48" s="6"/>
      <c r="H48" s="7" t="s">
        <v>6</v>
      </c>
      <c r="I48" s="8">
        <f>+H46+I43+H40</f>
        <v>2.0278980578922114</v>
      </c>
      <c r="J48" s="9" t="s">
        <v>7</v>
      </c>
      <c r="K48" s="3"/>
      <c r="L48" s="3"/>
      <c r="M48" s="33"/>
    </row>
    <row r="49" spans="2:13" x14ac:dyDescent="0.25">
      <c r="B49" s="32"/>
      <c r="D49" s="52" t="s">
        <v>20</v>
      </c>
      <c r="E49" s="3"/>
      <c r="F49" s="3"/>
      <c r="G49" s="3"/>
      <c r="H49" s="3"/>
      <c r="I49" s="3"/>
      <c r="J49" s="3"/>
      <c r="K49" s="3"/>
      <c r="L49" s="3"/>
      <c r="M49" s="33"/>
    </row>
    <row r="50" spans="2:13" x14ac:dyDescent="0.25">
      <c r="B50" s="32"/>
      <c r="C50" s="3"/>
      <c r="D50" s="3" t="s">
        <v>22</v>
      </c>
      <c r="E50" s="3"/>
      <c r="F50" s="3"/>
      <c r="G50" s="3"/>
      <c r="H50" s="3"/>
      <c r="I50" s="3"/>
      <c r="J50" s="3"/>
      <c r="K50" s="3"/>
      <c r="L50" s="3"/>
      <c r="M50" s="33"/>
    </row>
    <row r="51" spans="2:13" x14ac:dyDescent="0.25">
      <c r="B51" s="32"/>
      <c r="C51" s="3"/>
      <c r="D51" s="3"/>
      <c r="E51" s="10" t="s">
        <v>8</v>
      </c>
      <c r="F51" s="10" t="s">
        <v>9</v>
      </c>
      <c r="G51" s="11" t="s">
        <v>10</v>
      </c>
      <c r="H51" s="11" t="s">
        <v>11</v>
      </c>
      <c r="I51" s="11" t="s">
        <v>12</v>
      </c>
      <c r="J51" s="11" t="s">
        <v>13</v>
      </c>
      <c r="K51" s="11" t="s">
        <v>14</v>
      </c>
      <c r="L51" s="12" t="s">
        <v>15</v>
      </c>
      <c r="M51" s="33"/>
    </row>
    <row r="52" spans="2:13" x14ac:dyDescent="0.25">
      <c r="B52" s="32"/>
      <c r="C52" s="3"/>
      <c r="D52" s="3"/>
      <c r="E52" s="13">
        <v>0.5</v>
      </c>
      <c r="F52" s="14">
        <v>4</v>
      </c>
      <c r="G52" s="15">
        <f>0.62+0.15+0.15</f>
        <v>0.92</v>
      </c>
      <c r="H52" s="15">
        <f>+IF(E52=5/8,1.552,IF(E52=1/2,0.994,IF(E52=3/8,0.56,IF(E52=1/4,0.25))))</f>
        <v>0.99399999999999999</v>
      </c>
      <c r="I52" s="15">
        <f>+F52*G52*H52</f>
        <v>3.6579200000000003</v>
      </c>
      <c r="J52" s="15">
        <f>+I52*0.05</f>
        <v>0.18289600000000003</v>
      </c>
      <c r="K52" s="16">
        <f>+J52+I52</f>
        <v>3.8408160000000002</v>
      </c>
      <c r="L52" s="17"/>
      <c r="M52" s="33"/>
    </row>
    <row r="53" spans="2:13" x14ac:dyDescent="0.25">
      <c r="B53" s="32"/>
      <c r="C53" s="3"/>
      <c r="D53" s="3"/>
      <c r="E53" s="13">
        <v>0.5</v>
      </c>
      <c r="F53" s="14">
        <v>4</v>
      </c>
      <c r="G53" s="15">
        <f>1.09+0.15+0.15</f>
        <v>1.39</v>
      </c>
      <c r="H53" s="15">
        <f t="shared" ref="H53:H54" si="12">+IF(E53=5/8,1.552,IF(E53=1/2,0.994,IF(E53=3/8,0.56,IF(E53=1/4,0.25))))</f>
        <v>0.99399999999999999</v>
      </c>
      <c r="I53" s="15">
        <f t="shared" ref="I53" si="13">+F53*G53*H53</f>
        <v>5.5266399999999996</v>
      </c>
      <c r="J53" s="15">
        <f t="shared" ref="J53" si="14">+I53*0.05</f>
        <v>0.27633199999999997</v>
      </c>
      <c r="K53" s="16">
        <f t="shared" ref="K53" si="15">+J53+I53</f>
        <v>5.8029719999999996</v>
      </c>
      <c r="L53" s="17"/>
      <c r="M53" s="33"/>
    </row>
    <row r="54" spans="2:13" x14ac:dyDescent="0.25">
      <c r="B54" s="32"/>
      <c r="C54" s="3"/>
      <c r="D54" s="3"/>
      <c r="E54" s="13">
        <v>0.5</v>
      </c>
      <c r="F54" s="14">
        <v>4</v>
      </c>
      <c r="G54" s="15">
        <f>1.29+0.15+0.15</f>
        <v>1.5899999999999999</v>
      </c>
      <c r="H54" s="15">
        <f t="shared" si="12"/>
        <v>0.99399999999999999</v>
      </c>
      <c r="I54" s="15">
        <f>+F54*G54*H54</f>
        <v>6.321839999999999</v>
      </c>
      <c r="J54" s="15">
        <f>+I54*0.05</f>
        <v>0.31609199999999998</v>
      </c>
      <c r="K54" s="16">
        <f>+J54+I54</f>
        <v>6.6379319999999993</v>
      </c>
      <c r="L54" s="17"/>
      <c r="M54" s="33"/>
    </row>
    <row r="55" spans="2:13" x14ac:dyDescent="0.25">
      <c r="B55" s="32"/>
      <c r="C55" s="3"/>
      <c r="D55" s="3"/>
      <c r="E55" s="13">
        <v>0.5</v>
      </c>
      <c r="F55" s="14">
        <v>2</v>
      </c>
      <c r="G55" s="15">
        <f>1.35+0.15+0.15</f>
        <v>1.65</v>
      </c>
      <c r="H55" s="15">
        <f>+IF(E55=5/8,1.552,IF(E55=1/2,0.994,IF(E55=3/8,0.56,IF(E55=1/4,0.25))))</f>
        <v>0.99399999999999999</v>
      </c>
      <c r="I55" s="15">
        <f>+F55*G55*H55</f>
        <v>3.2801999999999998</v>
      </c>
      <c r="J55" s="15">
        <f>+I55*0.05</f>
        <v>0.16400999999999999</v>
      </c>
      <c r="K55" s="16">
        <f>+J55+I55</f>
        <v>3.44421</v>
      </c>
      <c r="L55" s="18">
        <f>+SUM(K52:K55)</f>
        <v>19.725929999999998</v>
      </c>
      <c r="M55" s="33"/>
    </row>
    <row r="56" spans="2:13" x14ac:dyDescent="0.25">
      <c r="B56" s="32"/>
      <c r="C56" s="3"/>
      <c r="D56" s="3"/>
      <c r="E56" s="3"/>
      <c r="F56" s="3"/>
      <c r="G56" s="3"/>
      <c r="H56" s="3"/>
      <c r="I56" s="3"/>
      <c r="J56" s="3"/>
      <c r="K56" s="3"/>
      <c r="L56" s="3"/>
      <c r="M56" s="33"/>
    </row>
    <row r="57" spans="2:13" x14ac:dyDescent="0.25">
      <c r="B57" s="32"/>
      <c r="C57" s="3"/>
      <c r="D57" s="3" t="s">
        <v>25</v>
      </c>
      <c r="E57" s="19"/>
      <c r="F57" s="20"/>
      <c r="G57" s="21"/>
      <c r="H57" s="21"/>
      <c r="I57" s="21"/>
      <c r="J57" s="21"/>
      <c r="K57" s="21"/>
      <c r="L57" s="3"/>
      <c r="M57" s="33"/>
    </row>
    <row r="58" spans="2:13" x14ac:dyDescent="0.25">
      <c r="B58" s="32"/>
      <c r="C58" s="3"/>
      <c r="D58" s="3"/>
      <c r="E58" s="10" t="s">
        <v>8</v>
      </c>
      <c r="F58" s="10" t="s">
        <v>9</v>
      </c>
      <c r="G58" s="11" t="s">
        <v>10</v>
      </c>
      <c r="H58" s="11" t="s">
        <v>11</v>
      </c>
      <c r="I58" s="11" t="s">
        <v>12</v>
      </c>
      <c r="J58" s="11" t="s">
        <v>13</v>
      </c>
      <c r="K58" s="11" t="s">
        <v>14</v>
      </c>
      <c r="L58" s="11" t="s">
        <v>15</v>
      </c>
      <c r="M58" s="33"/>
    </row>
    <row r="59" spans="2:13" x14ac:dyDescent="0.25">
      <c r="B59" s="32"/>
      <c r="C59" s="3"/>
      <c r="D59" s="3"/>
      <c r="E59" s="10">
        <v>1.35</v>
      </c>
      <c r="F59" s="1"/>
      <c r="G59" s="11">
        <f>PI()*E59</f>
        <v>4.2411500823462207</v>
      </c>
      <c r="H59" s="11"/>
      <c r="I59" s="11"/>
      <c r="J59" s="11"/>
      <c r="K59" s="46"/>
      <c r="L59" s="47"/>
      <c r="M59" s="33"/>
    </row>
    <row r="60" spans="2:13" x14ac:dyDescent="0.25">
      <c r="B60" s="32"/>
      <c r="C60" s="22"/>
      <c r="D60" s="22" t="s">
        <v>16</v>
      </c>
      <c r="E60" s="13">
        <v>0.5</v>
      </c>
      <c r="F60" s="41">
        <f>+INT(G59/0.2)</f>
        <v>21</v>
      </c>
      <c r="G60" s="15">
        <f>0.3+G43</f>
        <v>2.2999999999999998</v>
      </c>
      <c r="H60" s="15">
        <f>IF(E60=5/8,1.56,IF(E60=1/2,0.994,IF(E60=3/8,0.56,IF(E60=1/4,0.25))))</f>
        <v>0.99399999999999999</v>
      </c>
      <c r="I60" s="15">
        <f>+F60*G60*H60</f>
        <v>48.010199999999998</v>
      </c>
      <c r="J60" s="15">
        <f>+I60*0.05</f>
        <v>2.4005100000000001</v>
      </c>
      <c r="K60" s="23">
        <f>+J60+I60</f>
        <v>50.410709999999995</v>
      </c>
      <c r="L60" s="17"/>
      <c r="M60" s="33"/>
    </row>
    <row r="61" spans="2:13" x14ac:dyDescent="0.25">
      <c r="B61" s="32"/>
      <c r="C61" s="22"/>
      <c r="D61" s="22" t="s">
        <v>17</v>
      </c>
      <c r="E61" s="13">
        <v>0.5</v>
      </c>
      <c r="F61" s="41">
        <f>+INT(G43/0.2)</f>
        <v>10</v>
      </c>
      <c r="G61" s="15">
        <f>+F43+0.15+0.15</f>
        <v>1.7999999999999998</v>
      </c>
      <c r="H61" s="15">
        <f>+IF(E61=5/8,1.56,IF(E61=1/2,0.994,IF(E61=3/8,0.56,IF(E61=1/4,0.25))))</f>
        <v>0.99399999999999999</v>
      </c>
      <c r="I61" s="15">
        <f>+F61*G61*H61</f>
        <v>17.891999999999999</v>
      </c>
      <c r="J61" s="15">
        <f>+I61*0.05</f>
        <v>0.89460000000000006</v>
      </c>
      <c r="K61" s="23">
        <f>+J61+I61</f>
        <v>18.7866</v>
      </c>
      <c r="L61" s="18">
        <f>+SUM(K60:K61)</f>
        <v>69.197309999999987</v>
      </c>
      <c r="M61" s="33"/>
    </row>
    <row r="62" spans="2:13" x14ac:dyDescent="0.25">
      <c r="B62" s="32"/>
      <c r="C62" s="3"/>
      <c r="D62" s="3"/>
      <c r="E62" s="3"/>
      <c r="F62" s="2"/>
      <c r="G62" s="3"/>
      <c r="H62" s="24"/>
      <c r="I62" s="5"/>
      <c r="J62" s="3"/>
      <c r="K62" s="3"/>
      <c r="L62" s="3"/>
      <c r="M62" s="33"/>
    </row>
    <row r="63" spans="2:13" x14ac:dyDescent="0.25">
      <c r="B63" s="32"/>
      <c r="C63" s="3"/>
      <c r="D63" s="3" t="s">
        <v>26</v>
      </c>
      <c r="E63" s="3"/>
      <c r="F63" s="3"/>
      <c r="G63" s="3"/>
      <c r="H63" s="3"/>
      <c r="I63" s="3"/>
      <c r="J63" s="3"/>
      <c r="K63" s="3"/>
      <c r="L63" s="3"/>
      <c r="M63" s="33"/>
    </row>
    <row r="64" spans="2:13" x14ac:dyDescent="0.25">
      <c r="B64" s="32"/>
      <c r="C64" s="3"/>
      <c r="D64" s="3"/>
      <c r="E64" s="10" t="s">
        <v>8</v>
      </c>
      <c r="F64" s="10" t="s">
        <v>9</v>
      </c>
      <c r="G64" s="11" t="s">
        <v>10</v>
      </c>
      <c r="H64" s="11" t="s">
        <v>11</v>
      </c>
      <c r="I64" s="11" t="s">
        <v>12</v>
      </c>
      <c r="J64" s="11" t="s">
        <v>13</v>
      </c>
      <c r="K64" s="11" t="s">
        <v>14</v>
      </c>
      <c r="L64" s="12" t="s">
        <v>15</v>
      </c>
      <c r="M64" s="33"/>
    </row>
    <row r="65" spans="2:13" x14ac:dyDescent="0.25">
      <c r="B65" s="32"/>
      <c r="C65" s="3"/>
      <c r="D65" s="22" t="s">
        <v>23</v>
      </c>
      <c r="E65" s="13">
        <v>0.5</v>
      </c>
      <c r="F65" s="14">
        <v>2</v>
      </c>
      <c r="G65" s="15">
        <f>0.5385+0.2+0.2</f>
        <v>0.93849999999999989</v>
      </c>
      <c r="H65" s="15">
        <f>+IF(E65=5/8,1.552,IF(E65=1/2,0.994,IF(E65=3/8,0.56,IF(E65=1/4,0.25))))</f>
        <v>0.99399999999999999</v>
      </c>
      <c r="I65" s="15">
        <f>+F65*G65*H65</f>
        <v>1.8657379999999997</v>
      </c>
      <c r="J65" s="15">
        <f>+I65*0.05</f>
        <v>9.3286899999999992E-2</v>
      </c>
      <c r="K65" s="16">
        <f>+J65+I65</f>
        <v>1.9590248999999997</v>
      </c>
      <c r="L65" s="17"/>
      <c r="M65" s="33"/>
    </row>
    <row r="66" spans="2:13" x14ac:dyDescent="0.25">
      <c r="B66" s="32"/>
      <c r="C66" s="3"/>
      <c r="D66" s="22" t="s">
        <v>23</v>
      </c>
      <c r="E66" s="13">
        <v>0.5</v>
      </c>
      <c r="F66" s="14">
        <v>2</v>
      </c>
      <c r="G66" s="15">
        <f>0.9+0.2+0.2</f>
        <v>1.3</v>
      </c>
      <c r="H66" s="15">
        <f t="shared" ref="H66:H72" si="16">+IF(E66=5/8,1.552,IF(E66=1/2,0.994,IF(E66=3/8,0.56,IF(E66=1/4,0.25))))</f>
        <v>0.99399999999999999</v>
      </c>
      <c r="I66" s="15">
        <f t="shared" ref="I66:I72" si="17">+F66*G66*H66</f>
        <v>2.5844</v>
      </c>
      <c r="J66" s="15">
        <f t="shared" ref="J66:J72" si="18">+I66*0.05</f>
        <v>0.12922</v>
      </c>
      <c r="K66" s="16">
        <f t="shared" ref="K66:K72" si="19">+J66+I66</f>
        <v>2.7136200000000001</v>
      </c>
      <c r="L66" s="17"/>
      <c r="M66" s="33"/>
    </row>
    <row r="67" spans="2:13" x14ac:dyDescent="0.25">
      <c r="B67" s="32"/>
      <c r="C67" s="3"/>
      <c r="D67" s="22" t="s">
        <v>23</v>
      </c>
      <c r="E67" s="13">
        <v>0.5</v>
      </c>
      <c r="F67" s="14">
        <v>2</v>
      </c>
      <c r="G67" s="15">
        <f>1.118+0.2+0.2</f>
        <v>1.518</v>
      </c>
      <c r="H67" s="15">
        <f t="shared" si="16"/>
        <v>0.99399999999999999</v>
      </c>
      <c r="I67" s="15">
        <f t="shared" si="17"/>
        <v>3.0177839999999998</v>
      </c>
      <c r="J67" s="15">
        <f t="shared" si="18"/>
        <v>0.1508892</v>
      </c>
      <c r="K67" s="16">
        <f t="shared" si="19"/>
        <v>3.1686731999999997</v>
      </c>
      <c r="L67" s="17"/>
      <c r="M67" s="33"/>
    </row>
    <row r="68" spans="2:13" x14ac:dyDescent="0.25">
      <c r="B68" s="32"/>
      <c r="C68" s="3"/>
      <c r="D68" s="22" t="s">
        <v>23</v>
      </c>
      <c r="E68" s="13">
        <v>0.5</v>
      </c>
      <c r="F68" s="14">
        <v>2</v>
      </c>
      <c r="G68" s="15">
        <f>1.2689+0.2+0.2</f>
        <v>1.6688999999999998</v>
      </c>
      <c r="H68" s="15">
        <f t="shared" si="16"/>
        <v>0.99399999999999999</v>
      </c>
      <c r="I68" s="15">
        <f t="shared" si="17"/>
        <v>3.3177731999999995</v>
      </c>
      <c r="J68" s="15">
        <f t="shared" si="18"/>
        <v>0.16588865999999999</v>
      </c>
      <c r="K68" s="16">
        <f t="shared" si="19"/>
        <v>3.4836618599999993</v>
      </c>
      <c r="L68" s="17"/>
      <c r="M68" s="33"/>
    </row>
    <row r="69" spans="2:13" x14ac:dyDescent="0.25">
      <c r="B69" s="32"/>
      <c r="C69" s="3"/>
      <c r="D69" s="22" t="s">
        <v>23</v>
      </c>
      <c r="E69" s="13">
        <v>0.5</v>
      </c>
      <c r="F69" s="14">
        <v>4</v>
      </c>
      <c r="G69" s="15">
        <f>0.5071+0.2+0.2</f>
        <v>0.90710000000000002</v>
      </c>
      <c r="H69" s="15">
        <f t="shared" si="16"/>
        <v>0.99399999999999999</v>
      </c>
      <c r="I69" s="15">
        <f t="shared" si="17"/>
        <v>3.6066296000000002</v>
      </c>
      <c r="J69" s="15">
        <f t="shared" si="18"/>
        <v>0.18033148000000002</v>
      </c>
      <c r="K69" s="16">
        <f t="shared" si="19"/>
        <v>3.7869610800000002</v>
      </c>
      <c r="L69" s="17"/>
      <c r="M69" s="33"/>
    </row>
    <row r="70" spans="2:13" x14ac:dyDescent="0.25">
      <c r="B70" s="32"/>
      <c r="C70" s="3"/>
      <c r="D70" s="22" t="s">
        <v>23</v>
      </c>
      <c r="E70" s="13">
        <v>0.5</v>
      </c>
      <c r="F70" s="14">
        <v>4</v>
      </c>
      <c r="G70" s="15">
        <f>0.4356+0.2+0.2</f>
        <v>0.8355999999999999</v>
      </c>
      <c r="H70" s="15">
        <f t="shared" si="16"/>
        <v>0.99399999999999999</v>
      </c>
      <c r="I70" s="15">
        <f t="shared" si="17"/>
        <v>3.3223455999999998</v>
      </c>
      <c r="J70" s="15">
        <f t="shared" si="18"/>
        <v>0.16611728000000001</v>
      </c>
      <c r="K70" s="16">
        <f t="shared" si="19"/>
        <v>3.4884628799999997</v>
      </c>
      <c r="L70" s="17"/>
      <c r="M70" s="33"/>
    </row>
    <row r="71" spans="2:13" x14ac:dyDescent="0.25">
      <c r="B71" s="32"/>
      <c r="C71" s="3"/>
      <c r="D71" s="22" t="s">
        <v>23</v>
      </c>
      <c r="E71" s="13">
        <v>0.5</v>
      </c>
      <c r="F71" s="14">
        <v>4</v>
      </c>
      <c r="G71" s="15">
        <f>0.4079+0.2+0.2</f>
        <v>0.80790000000000006</v>
      </c>
      <c r="H71" s="15">
        <f t="shared" si="16"/>
        <v>0.99399999999999999</v>
      </c>
      <c r="I71" s="15">
        <f t="shared" si="17"/>
        <v>3.2122104</v>
      </c>
      <c r="J71" s="15">
        <f t="shared" si="18"/>
        <v>0.16061052000000001</v>
      </c>
      <c r="K71" s="16">
        <f t="shared" si="19"/>
        <v>3.3728209200000001</v>
      </c>
      <c r="L71" s="17"/>
      <c r="M71" s="33"/>
    </row>
    <row r="72" spans="2:13" x14ac:dyDescent="0.25">
      <c r="B72" s="32"/>
      <c r="C72" s="3"/>
      <c r="D72" s="22" t="s">
        <v>23</v>
      </c>
      <c r="E72" s="13">
        <v>0.5</v>
      </c>
      <c r="F72" s="14">
        <v>2</v>
      </c>
      <c r="G72" s="15">
        <f>0.4+0.2+0.2</f>
        <v>0.8</v>
      </c>
      <c r="H72" s="15">
        <f t="shared" si="16"/>
        <v>0.99399999999999999</v>
      </c>
      <c r="I72" s="15">
        <f t="shared" si="17"/>
        <v>1.5904</v>
      </c>
      <c r="J72" s="15">
        <f t="shared" si="18"/>
        <v>7.9520000000000007E-2</v>
      </c>
      <c r="K72" s="16">
        <f t="shared" si="19"/>
        <v>1.6699200000000001</v>
      </c>
      <c r="L72" s="18">
        <f>+SUM(K65:K72)</f>
        <v>23.643144839999998</v>
      </c>
      <c r="M72" s="33"/>
    </row>
    <row r="73" spans="2:13" x14ac:dyDescent="0.25">
      <c r="B73" s="32"/>
      <c r="C73" s="3"/>
      <c r="D73" s="3"/>
      <c r="E73" s="42"/>
      <c r="F73" s="43"/>
      <c r="G73" s="44"/>
      <c r="H73" s="44"/>
      <c r="I73" s="44"/>
      <c r="J73" s="44"/>
      <c r="K73" s="43"/>
      <c r="L73" s="45"/>
      <c r="M73" s="33"/>
    </row>
    <row r="74" spans="2:13" x14ac:dyDescent="0.25">
      <c r="B74" s="32"/>
      <c r="C74" s="3"/>
      <c r="D74" s="3"/>
      <c r="E74" s="10" t="s">
        <v>8</v>
      </c>
      <c r="F74" s="10" t="s">
        <v>9</v>
      </c>
      <c r="G74" s="11" t="s">
        <v>10</v>
      </c>
      <c r="H74" s="11" t="s">
        <v>11</v>
      </c>
      <c r="I74" s="11" t="s">
        <v>12</v>
      </c>
      <c r="J74" s="11" t="s">
        <v>13</v>
      </c>
      <c r="K74" s="11" t="s">
        <v>14</v>
      </c>
      <c r="L74" s="12" t="s">
        <v>15</v>
      </c>
      <c r="M74" s="33"/>
    </row>
    <row r="75" spans="2:13" x14ac:dyDescent="0.25">
      <c r="B75" s="32"/>
      <c r="C75" s="3"/>
      <c r="D75" s="22" t="s">
        <v>24</v>
      </c>
      <c r="E75" s="13">
        <v>0.5</v>
      </c>
      <c r="F75" s="14">
        <v>2</v>
      </c>
      <c r="G75" s="15">
        <f>0.5385+0.2+0.2</f>
        <v>0.93849999999999989</v>
      </c>
      <c r="H75" s="15">
        <f>+IF(E75=5/8,1.552,IF(E75=1/2,0.994,IF(E75=3/8,0.56,IF(E75=1/4,0.25))))</f>
        <v>0.99399999999999999</v>
      </c>
      <c r="I75" s="15">
        <f t="shared" ref="I75:I82" si="20">+F75*G75*H75</f>
        <v>1.8657379999999997</v>
      </c>
      <c r="J75" s="15">
        <f>+I75*0.05</f>
        <v>9.3286899999999992E-2</v>
      </c>
      <c r="K75" s="16">
        <f>+J75+I75</f>
        <v>1.9590248999999997</v>
      </c>
      <c r="L75" s="17"/>
      <c r="M75" s="33"/>
    </row>
    <row r="76" spans="2:13" x14ac:dyDescent="0.25">
      <c r="B76" s="32"/>
      <c r="C76" s="3"/>
      <c r="D76" s="22" t="s">
        <v>24</v>
      </c>
      <c r="E76" s="13">
        <v>0.5</v>
      </c>
      <c r="F76" s="14">
        <v>2</v>
      </c>
      <c r="G76" s="15">
        <f>0.9+0.2+0.2</f>
        <v>1.3</v>
      </c>
      <c r="H76" s="15">
        <f t="shared" ref="H76:H82" si="21">+IF(E76=5/8,1.552,IF(E76=1/2,0.994,IF(E76=3/8,0.56,IF(E76=1/4,0.25))))</f>
        <v>0.99399999999999999</v>
      </c>
      <c r="I76" s="15">
        <f t="shared" si="20"/>
        <v>2.5844</v>
      </c>
      <c r="J76" s="15">
        <f t="shared" ref="J76:J82" si="22">+I76*0.05</f>
        <v>0.12922</v>
      </c>
      <c r="K76" s="16">
        <f t="shared" ref="K76:K82" si="23">+J76+I76</f>
        <v>2.7136200000000001</v>
      </c>
      <c r="L76" s="17"/>
      <c r="M76" s="33"/>
    </row>
    <row r="77" spans="2:13" x14ac:dyDescent="0.25">
      <c r="B77" s="32"/>
      <c r="C77" s="3"/>
      <c r="D77" s="22" t="s">
        <v>24</v>
      </c>
      <c r="E77" s="13">
        <v>0.5</v>
      </c>
      <c r="F77" s="14">
        <v>2</v>
      </c>
      <c r="G77" s="15">
        <f>1.118+0.2+0.2</f>
        <v>1.518</v>
      </c>
      <c r="H77" s="15">
        <f t="shared" si="21"/>
        <v>0.99399999999999999</v>
      </c>
      <c r="I77" s="15">
        <f t="shared" si="20"/>
        <v>3.0177839999999998</v>
      </c>
      <c r="J77" s="15">
        <f t="shared" si="22"/>
        <v>0.1508892</v>
      </c>
      <c r="K77" s="16">
        <f t="shared" si="23"/>
        <v>3.1686731999999997</v>
      </c>
      <c r="L77" s="17"/>
      <c r="M77" s="33"/>
    </row>
    <row r="78" spans="2:13" x14ac:dyDescent="0.25">
      <c r="B78" s="32"/>
      <c r="C78" s="3"/>
      <c r="D78" s="22" t="s">
        <v>24</v>
      </c>
      <c r="E78" s="13">
        <v>0.5</v>
      </c>
      <c r="F78" s="14">
        <v>2</v>
      </c>
      <c r="G78" s="15">
        <f>1.2689+0.2+0.2</f>
        <v>1.6688999999999998</v>
      </c>
      <c r="H78" s="15">
        <f t="shared" si="21"/>
        <v>0.99399999999999999</v>
      </c>
      <c r="I78" s="15">
        <f t="shared" si="20"/>
        <v>3.3177731999999995</v>
      </c>
      <c r="J78" s="15">
        <f t="shared" si="22"/>
        <v>0.16588865999999999</v>
      </c>
      <c r="K78" s="16">
        <f t="shared" si="23"/>
        <v>3.4836618599999993</v>
      </c>
      <c r="L78" s="17"/>
      <c r="M78" s="33"/>
    </row>
    <row r="79" spans="2:13" x14ac:dyDescent="0.25">
      <c r="B79" s="32"/>
      <c r="C79" s="3"/>
      <c r="D79" s="22" t="s">
        <v>24</v>
      </c>
      <c r="E79" s="13">
        <v>0.5</v>
      </c>
      <c r="F79" s="14">
        <v>4</v>
      </c>
      <c r="G79" s="15">
        <f>0.5071+0.2+0.2</f>
        <v>0.90710000000000002</v>
      </c>
      <c r="H79" s="15">
        <f t="shared" si="21"/>
        <v>0.99399999999999999</v>
      </c>
      <c r="I79" s="15">
        <f t="shared" si="20"/>
        <v>3.6066296000000002</v>
      </c>
      <c r="J79" s="15">
        <f t="shared" si="22"/>
        <v>0.18033148000000002</v>
      </c>
      <c r="K79" s="16">
        <f t="shared" si="23"/>
        <v>3.7869610800000002</v>
      </c>
      <c r="L79" s="17"/>
      <c r="M79" s="33"/>
    </row>
    <row r="80" spans="2:13" x14ac:dyDescent="0.25">
      <c r="B80" s="32"/>
      <c r="C80" s="3"/>
      <c r="D80" s="22" t="s">
        <v>24</v>
      </c>
      <c r="E80" s="13">
        <v>0.5</v>
      </c>
      <c r="F80" s="14">
        <v>4</v>
      </c>
      <c r="G80" s="15">
        <f>0.4356+0.2+0.2</f>
        <v>0.8355999999999999</v>
      </c>
      <c r="H80" s="15">
        <f t="shared" si="21"/>
        <v>0.99399999999999999</v>
      </c>
      <c r="I80" s="15">
        <f t="shared" si="20"/>
        <v>3.3223455999999998</v>
      </c>
      <c r="J80" s="15">
        <f t="shared" si="22"/>
        <v>0.16611728000000001</v>
      </c>
      <c r="K80" s="16">
        <f t="shared" si="23"/>
        <v>3.4884628799999997</v>
      </c>
      <c r="L80" s="17"/>
      <c r="M80" s="33"/>
    </row>
    <row r="81" spans="2:14" x14ac:dyDescent="0.25">
      <c r="B81" s="32"/>
      <c r="C81" s="3"/>
      <c r="D81" s="22" t="s">
        <v>24</v>
      </c>
      <c r="E81" s="13">
        <v>0.5</v>
      </c>
      <c r="F81" s="14">
        <v>4</v>
      </c>
      <c r="G81" s="15">
        <f>0.4079+0.2+0.2</f>
        <v>0.80790000000000006</v>
      </c>
      <c r="H81" s="15">
        <f t="shared" si="21"/>
        <v>0.99399999999999999</v>
      </c>
      <c r="I81" s="15">
        <f t="shared" si="20"/>
        <v>3.2122104</v>
      </c>
      <c r="J81" s="15">
        <f t="shared" si="22"/>
        <v>0.16061052000000001</v>
      </c>
      <c r="K81" s="16">
        <f t="shared" si="23"/>
        <v>3.3728209200000001</v>
      </c>
      <c r="L81" s="17"/>
      <c r="M81" s="33"/>
    </row>
    <row r="82" spans="2:14" x14ac:dyDescent="0.25">
      <c r="B82" s="32"/>
      <c r="C82" s="3"/>
      <c r="D82" s="22" t="s">
        <v>24</v>
      </c>
      <c r="E82" s="13">
        <v>0.5</v>
      </c>
      <c r="F82" s="14">
        <v>2</v>
      </c>
      <c r="G82" s="15">
        <f>0.4+0.2+0.2</f>
        <v>0.8</v>
      </c>
      <c r="H82" s="15">
        <f t="shared" si="21"/>
        <v>0.99399999999999999</v>
      </c>
      <c r="I82" s="15">
        <f t="shared" si="20"/>
        <v>1.5904</v>
      </c>
      <c r="J82" s="15">
        <f t="shared" si="22"/>
        <v>7.9520000000000007E-2</v>
      </c>
      <c r="K82" s="16">
        <f t="shared" si="23"/>
        <v>1.6699200000000001</v>
      </c>
      <c r="L82" s="18">
        <f>+SUM(K75:K82)</f>
        <v>23.643144839999998</v>
      </c>
      <c r="M82" s="33"/>
    </row>
    <row r="83" spans="2:14" x14ac:dyDescent="0.25">
      <c r="B83" s="32"/>
      <c r="C83" s="3"/>
      <c r="D83" s="22"/>
      <c r="E83" s="42"/>
      <c r="F83" s="43"/>
      <c r="G83" s="44"/>
      <c r="H83" s="44"/>
      <c r="I83" s="44"/>
      <c r="J83" s="44"/>
      <c r="K83" s="44"/>
      <c r="L83" s="45"/>
      <c r="M83" s="33"/>
    </row>
    <row r="84" spans="2:14" x14ac:dyDescent="0.25">
      <c r="B84" s="32"/>
      <c r="C84" s="3"/>
      <c r="E84" s="55" t="s">
        <v>28</v>
      </c>
      <c r="F84" s="43"/>
      <c r="G84" s="44"/>
      <c r="H84" s="44"/>
      <c r="I84" s="44"/>
      <c r="J84" s="44"/>
      <c r="K84" s="44"/>
      <c r="L84" s="45"/>
      <c r="M84" s="33"/>
    </row>
    <row r="85" spans="2:14" x14ac:dyDescent="0.25">
      <c r="B85" s="32"/>
      <c r="C85" s="3"/>
      <c r="D85" s="22"/>
      <c r="E85" s="10" t="s">
        <v>8</v>
      </c>
      <c r="F85" s="10" t="s">
        <v>9</v>
      </c>
      <c r="G85" s="11" t="s">
        <v>10</v>
      </c>
      <c r="H85" s="11" t="s">
        <v>11</v>
      </c>
      <c r="I85" s="11" t="s">
        <v>12</v>
      </c>
      <c r="J85" s="11" t="s">
        <v>13</v>
      </c>
      <c r="K85" s="11" t="s">
        <v>14</v>
      </c>
      <c r="L85" s="12" t="s">
        <v>15</v>
      </c>
      <c r="M85" s="33"/>
    </row>
    <row r="86" spans="2:14" x14ac:dyDescent="0.25">
      <c r="B86" s="32"/>
      <c r="C86" s="3"/>
      <c r="D86" s="22"/>
      <c r="E86" s="13">
        <v>0.5</v>
      </c>
      <c r="F86" s="14">
        <v>4</v>
      </c>
      <c r="G86" s="15">
        <f>1.32+0.2+0.2</f>
        <v>1.72</v>
      </c>
      <c r="H86" s="15">
        <f>+IF(E86=5/8,1.552,IF(E86=1/2,0.994,IF(E86=3/8,0.56,IF(E86=1/4,0.25))))</f>
        <v>0.99399999999999999</v>
      </c>
      <c r="I86" s="15">
        <f t="shared" ref="I86:I87" si="24">+F86*G86*H86</f>
        <v>6.8387199999999995</v>
      </c>
      <c r="J86" s="15">
        <f>+I86*0.05</f>
        <v>0.34193600000000002</v>
      </c>
      <c r="K86" s="15">
        <f>+J86+I86</f>
        <v>7.180655999999999</v>
      </c>
      <c r="L86" s="17"/>
      <c r="M86" s="33"/>
    </row>
    <row r="87" spans="2:14" x14ac:dyDescent="0.25">
      <c r="B87" s="32"/>
      <c r="C87" s="3"/>
      <c r="D87" s="22"/>
      <c r="E87" s="13">
        <v>0.5</v>
      </c>
      <c r="F87" s="14">
        <v>4</v>
      </c>
      <c r="G87" s="15">
        <f>1.32+0.2+0.2</f>
        <v>1.72</v>
      </c>
      <c r="H87" s="15">
        <f t="shared" ref="H87" si="25">+IF(E87=5/8,1.552,IF(E87=1/2,0.994,IF(E87=3/8,0.56,IF(E87=1/4,0.25))))</f>
        <v>0.99399999999999999</v>
      </c>
      <c r="I87" s="15">
        <f t="shared" si="24"/>
        <v>6.8387199999999995</v>
      </c>
      <c r="J87" s="15">
        <f t="shared" ref="J87" si="26">+I87*0.05</f>
        <v>0.34193600000000002</v>
      </c>
      <c r="K87" s="15">
        <f t="shared" ref="K87" si="27">+J87+I87</f>
        <v>7.180655999999999</v>
      </c>
      <c r="L87" s="18">
        <f>SUM(K86:K87)</f>
        <v>14.361311999999998</v>
      </c>
      <c r="M87" s="33"/>
    </row>
    <row r="88" spans="2:14" x14ac:dyDescent="0.25">
      <c r="B88" s="32"/>
      <c r="C88" s="3"/>
      <c r="D88" s="22"/>
      <c r="E88" s="42"/>
      <c r="F88" s="43"/>
      <c r="G88" s="44"/>
      <c r="H88" s="44"/>
      <c r="I88" s="44"/>
      <c r="J88" s="44"/>
      <c r="K88" s="44"/>
      <c r="L88" s="45"/>
      <c r="M88" s="33"/>
    </row>
    <row r="89" spans="2:14" x14ac:dyDescent="0.25">
      <c r="B89" s="34"/>
      <c r="C89" s="25"/>
      <c r="D89" s="25"/>
      <c r="E89" s="25"/>
      <c r="F89" s="25"/>
      <c r="G89" s="26"/>
      <c r="H89" s="7" t="s">
        <v>18</v>
      </c>
      <c r="I89" s="27">
        <f>+L72+L61+L55+L82+L87</f>
        <v>150.57084167999997</v>
      </c>
      <c r="J89" s="28" t="s">
        <v>19</v>
      </c>
      <c r="K89" s="25"/>
      <c r="L89" s="61"/>
      <c r="M89" s="35"/>
    </row>
    <row r="90" spans="2:14" ht="15.75" thickBot="1" x14ac:dyDescent="0.3"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8"/>
    </row>
    <row r="91" spans="2:14" ht="15.75" thickTop="1" x14ac:dyDescent="0.25"/>
    <row r="92" spans="2:14" ht="15.75" thickBot="1" x14ac:dyDescent="0.3"/>
    <row r="93" spans="2:14" ht="15.75" thickTop="1" x14ac:dyDescent="0.25">
      <c r="B93" s="29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1"/>
    </row>
    <row r="94" spans="2:14" ht="19.5" x14ac:dyDescent="0.3">
      <c r="B94" s="32"/>
      <c r="C94" s="60" t="s">
        <v>36</v>
      </c>
      <c r="D94" s="60"/>
      <c r="E94" s="60"/>
      <c r="F94" s="60"/>
      <c r="G94" s="60"/>
      <c r="H94" s="60"/>
      <c r="I94" s="60"/>
      <c r="J94" s="60"/>
      <c r="K94" s="60"/>
      <c r="L94" s="60"/>
      <c r="M94" s="56"/>
      <c r="N94" s="48"/>
    </row>
    <row r="95" spans="2:14" x14ac:dyDescent="0.25">
      <c r="B95" s="32"/>
      <c r="C95" s="57"/>
      <c r="D95" s="52" t="s">
        <v>21</v>
      </c>
      <c r="E95" s="3"/>
      <c r="F95" s="3"/>
      <c r="G95" s="3"/>
      <c r="H95" s="3"/>
      <c r="I95" s="3"/>
      <c r="J95" s="3"/>
      <c r="K95" s="3"/>
      <c r="L95" s="3"/>
      <c r="M95" s="33"/>
    </row>
    <row r="96" spans="2:14" x14ac:dyDescent="0.25">
      <c r="B96" s="32"/>
      <c r="C96" s="3"/>
      <c r="D96" s="40" t="s">
        <v>22</v>
      </c>
      <c r="E96" s="3"/>
      <c r="F96" s="3"/>
      <c r="G96" s="3"/>
      <c r="H96" s="3"/>
      <c r="I96" s="3"/>
      <c r="J96" s="3"/>
      <c r="K96" s="3"/>
      <c r="L96" s="3"/>
      <c r="M96" s="33"/>
    </row>
    <row r="97" spans="2:14" x14ac:dyDescent="0.25">
      <c r="B97" s="32"/>
      <c r="C97" s="3"/>
      <c r="D97" s="40"/>
      <c r="E97" s="4" t="s">
        <v>0</v>
      </c>
      <c r="F97" s="4" t="s">
        <v>1</v>
      </c>
      <c r="G97" s="4" t="s">
        <v>2</v>
      </c>
      <c r="H97" s="4" t="s">
        <v>3</v>
      </c>
      <c r="I97" s="3"/>
      <c r="J97" s="40"/>
      <c r="K97" s="40"/>
      <c r="L97" s="40"/>
      <c r="M97" s="58"/>
      <c r="N97" s="48"/>
    </row>
    <row r="98" spans="2:14" x14ac:dyDescent="0.25">
      <c r="B98" s="32"/>
      <c r="C98" s="3"/>
      <c r="D98" s="40"/>
      <c r="E98" s="49">
        <f>1.2+0.2+0.2</f>
        <v>1.5999999999999999</v>
      </c>
      <c r="F98" s="49">
        <f>PI()*E98^2/4</f>
        <v>2.0106192982974673</v>
      </c>
      <c r="G98" s="49">
        <v>0.2</v>
      </c>
      <c r="H98" s="49">
        <f>+G98*F98</f>
        <v>0.40212385965949349</v>
      </c>
      <c r="I98" s="3"/>
      <c r="J98" s="5"/>
      <c r="K98" s="5"/>
      <c r="L98" s="5"/>
      <c r="M98" s="59"/>
      <c r="N98" s="48"/>
    </row>
    <row r="99" spans="2:14" x14ac:dyDescent="0.25">
      <c r="B99" s="32"/>
      <c r="C99" s="3"/>
      <c r="D99" s="40" t="s">
        <v>25</v>
      </c>
      <c r="E99" s="51"/>
      <c r="F99" s="51"/>
      <c r="G99" s="51"/>
      <c r="H99" s="51"/>
      <c r="I99" s="51"/>
      <c r="J99" s="3"/>
      <c r="K99" s="3"/>
      <c r="L99" s="3"/>
      <c r="M99" s="33"/>
    </row>
    <row r="100" spans="2:14" x14ac:dyDescent="0.25">
      <c r="B100" s="32"/>
      <c r="C100" s="3"/>
      <c r="D100" s="40"/>
      <c r="E100" s="4" t="str">
        <f>E42</f>
        <v>Diametro Men.</v>
      </c>
      <c r="F100" s="4" t="str">
        <f>F42</f>
        <v>Diametro May.</v>
      </c>
      <c r="G100" s="4" t="s">
        <v>5</v>
      </c>
      <c r="H100" s="4" t="str">
        <f>H42</f>
        <v>Area</v>
      </c>
      <c r="I100" s="4" t="s">
        <v>3</v>
      </c>
      <c r="J100" s="3"/>
      <c r="K100" s="39"/>
      <c r="L100" s="3"/>
      <c r="M100" s="33"/>
    </row>
    <row r="101" spans="2:14" x14ac:dyDescent="0.25">
      <c r="B101" s="32"/>
      <c r="C101" s="3"/>
      <c r="D101" s="40"/>
      <c r="E101" s="49">
        <v>1.2</v>
      </c>
      <c r="F101" s="49">
        <v>1.6</v>
      </c>
      <c r="G101" s="49">
        <v>3</v>
      </c>
      <c r="H101" s="49">
        <f>(PI()*((F101/2)^2))-(PI()*((E101/2)^2))</f>
        <v>0.87964594300514221</v>
      </c>
      <c r="I101" s="49">
        <f>+F101*G101*H101</f>
        <v>4.2223005264246831</v>
      </c>
      <c r="J101" s="3"/>
      <c r="K101" s="3"/>
      <c r="L101" s="3"/>
      <c r="M101" s="33"/>
    </row>
    <row r="102" spans="2:14" x14ac:dyDescent="0.25">
      <c r="B102" s="32"/>
      <c r="C102" s="3"/>
      <c r="D102" s="40" t="s">
        <v>26</v>
      </c>
      <c r="E102" s="3"/>
      <c r="F102" s="3"/>
      <c r="G102" s="3"/>
      <c r="H102" s="3"/>
      <c r="I102" s="3"/>
      <c r="J102" s="3"/>
      <c r="K102" s="3"/>
      <c r="L102" s="3"/>
      <c r="M102" s="33"/>
    </row>
    <row r="103" spans="2:14" x14ac:dyDescent="0.25">
      <c r="B103" s="32"/>
      <c r="C103" s="3"/>
      <c r="D103" s="3"/>
      <c r="E103" s="4" t="s">
        <v>0</v>
      </c>
      <c r="F103" s="4" t="s">
        <v>1</v>
      </c>
      <c r="G103" s="4" t="s">
        <v>2</v>
      </c>
      <c r="H103" s="4" t="s">
        <v>3</v>
      </c>
      <c r="I103" s="3"/>
      <c r="J103" s="3"/>
      <c r="K103" s="3"/>
      <c r="L103" s="3"/>
      <c r="M103" s="33"/>
    </row>
    <row r="104" spans="2:14" x14ac:dyDescent="0.25">
      <c r="B104" s="32"/>
      <c r="C104" s="3"/>
      <c r="D104" s="3"/>
      <c r="E104" s="49">
        <v>1.7</v>
      </c>
      <c r="F104" s="49">
        <f>PI()*E104^2/4</f>
        <v>2.2698006922186251</v>
      </c>
      <c r="G104" s="49">
        <v>0.2</v>
      </c>
      <c r="H104" s="49">
        <f>+G104*F104</f>
        <v>0.45396013844372507</v>
      </c>
      <c r="I104" s="3"/>
      <c r="J104" s="3"/>
      <c r="K104" s="3"/>
      <c r="L104" s="3"/>
      <c r="M104" s="33"/>
    </row>
    <row r="105" spans="2:14" x14ac:dyDescent="0.25">
      <c r="B105" s="32"/>
      <c r="C105" s="3"/>
      <c r="D105" s="3"/>
      <c r="E105" s="5"/>
      <c r="F105" s="5"/>
      <c r="G105" s="5"/>
      <c r="H105" s="5"/>
      <c r="I105" s="3"/>
      <c r="J105" s="3"/>
      <c r="K105" s="3"/>
      <c r="L105" s="3"/>
      <c r="M105" s="33"/>
    </row>
    <row r="106" spans="2:14" x14ac:dyDescent="0.25">
      <c r="B106" s="32"/>
      <c r="C106" s="3"/>
      <c r="D106" s="3"/>
      <c r="E106" s="3"/>
      <c r="F106" s="2"/>
      <c r="G106" s="6"/>
      <c r="H106" s="7" t="s">
        <v>6</v>
      </c>
      <c r="I106" s="8">
        <f>+H104+I101+H98</f>
        <v>5.0783845245279018</v>
      </c>
      <c r="J106" s="9" t="s">
        <v>7</v>
      </c>
      <c r="K106" s="3"/>
      <c r="L106" s="3"/>
      <c r="M106" s="33"/>
    </row>
    <row r="107" spans="2:14" x14ac:dyDescent="0.25">
      <c r="B107" s="32"/>
      <c r="C107" s="57"/>
      <c r="D107" s="52" t="s">
        <v>20</v>
      </c>
      <c r="E107" s="3"/>
      <c r="F107" s="3"/>
      <c r="G107" s="3"/>
      <c r="H107" s="3"/>
      <c r="I107" s="3"/>
      <c r="J107" s="3"/>
      <c r="K107" s="3"/>
      <c r="L107" s="3"/>
      <c r="M107" s="33"/>
    </row>
    <row r="108" spans="2:14" x14ac:dyDescent="0.25">
      <c r="B108" s="32"/>
      <c r="C108" s="3"/>
      <c r="D108" s="3" t="s">
        <v>22</v>
      </c>
      <c r="E108" s="3"/>
      <c r="F108" s="3"/>
      <c r="G108" s="3"/>
      <c r="H108" s="3"/>
      <c r="I108" s="3"/>
      <c r="J108" s="3"/>
      <c r="K108" s="3"/>
      <c r="L108" s="3"/>
      <c r="M108" s="33"/>
    </row>
    <row r="109" spans="2:14" x14ac:dyDescent="0.25">
      <c r="B109" s="32"/>
      <c r="C109" s="3"/>
      <c r="D109" s="3"/>
      <c r="E109" s="10" t="s">
        <v>8</v>
      </c>
      <c r="F109" s="10" t="s">
        <v>9</v>
      </c>
      <c r="G109" s="11" t="s">
        <v>10</v>
      </c>
      <c r="H109" s="11" t="s">
        <v>11</v>
      </c>
      <c r="I109" s="11" t="s">
        <v>12</v>
      </c>
      <c r="J109" s="11" t="s">
        <v>13</v>
      </c>
      <c r="K109" s="11" t="s">
        <v>14</v>
      </c>
      <c r="L109" s="12" t="s">
        <v>15</v>
      </c>
      <c r="M109" s="33"/>
    </row>
    <row r="110" spans="2:14" x14ac:dyDescent="0.25">
      <c r="B110" s="32"/>
      <c r="C110" s="3"/>
      <c r="D110" s="3"/>
      <c r="E110" s="13">
        <v>0.5</v>
      </c>
      <c r="F110" s="14">
        <v>4</v>
      </c>
      <c r="G110" s="15">
        <f>0.98+0.15+0.15</f>
        <v>1.2799999999999998</v>
      </c>
      <c r="H110" s="15">
        <f>+IF(E110=5/8,1.552,IF(E110=1/2,0.994,IF(E110=3/8,0.56,IF(E110=1/4,0.25))))</f>
        <v>0.99399999999999999</v>
      </c>
      <c r="I110" s="15">
        <f>+F110*G110*H110</f>
        <v>5.0892799999999996</v>
      </c>
      <c r="J110" s="15">
        <f>+I110*0.05</f>
        <v>0.25446399999999997</v>
      </c>
      <c r="K110" s="16">
        <f>+J110+I110</f>
        <v>5.3437439999999992</v>
      </c>
      <c r="L110" s="17"/>
      <c r="M110" s="33"/>
    </row>
    <row r="111" spans="2:14" x14ac:dyDescent="0.25">
      <c r="B111" s="32"/>
      <c r="C111" s="3"/>
      <c r="D111" s="3"/>
      <c r="E111" s="13">
        <v>0.5</v>
      </c>
      <c r="F111" s="14">
        <v>4</v>
      </c>
      <c r="G111" s="15">
        <f>1.33+0.15+0.15</f>
        <v>1.63</v>
      </c>
      <c r="H111" s="15">
        <f t="shared" ref="H111:H112" si="28">+IF(E111=5/8,1.552,IF(E111=1/2,0.994,IF(E111=3/8,0.56,IF(E111=1/4,0.25))))</f>
        <v>0.99399999999999999</v>
      </c>
      <c r="I111" s="15">
        <f t="shared" ref="I111" si="29">+F111*G111*H111</f>
        <v>6.48088</v>
      </c>
      <c r="J111" s="15">
        <f t="shared" ref="J111" si="30">+I111*0.05</f>
        <v>0.324044</v>
      </c>
      <c r="K111" s="16">
        <f t="shared" ref="K111" si="31">+J111+I111</f>
        <v>6.8049239999999998</v>
      </c>
      <c r="L111" s="17"/>
      <c r="M111" s="33"/>
    </row>
    <row r="112" spans="2:14" x14ac:dyDescent="0.25">
      <c r="B112" s="32"/>
      <c r="C112" s="3"/>
      <c r="D112" s="3"/>
      <c r="E112" s="13">
        <v>0.5</v>
      </c>
      <c r="F112" s="14">
        <v>4</v>
      </c>
      <c r="G112" s="15">
        <f>1.5+0.15+0.15</f>
        <v>1.7999999999999998</v>
      </c>
      <c r="H112" s="15">
        <f t="shared" si="28"/>
        <v>0.99399999999999999</v>
      </c>
      <c r="I112" s="15">
        <f>+F112*G112*H112</f>
        <v>7.1567999999999996</v>
      </c>
      <c r="J112" s="15">
        <f>+I112*0.05</f>
        <v>0.35783999999999999</v>
      </c>
      <c r="K112" s="16">
        <f>+J112+I112</f>
        <v>7.51464</v>
      </c>
      <c r="L112" s="17"/>
      <c r="M112" s="33"/>
    </row>
    <row r="113" spans="2:13" x14ac:dyDescent="0.25">
      <c r="B113" s="32"/>
      <c r="C113" s="3"/>
      <c r="D113" s="3"/>
      <c r="E113" s="13">
        <v>0.5</v>
      </c>
      <c r="F113" s="14">
        <v>2</v>
      </c>
      <c r="G113" s="15">
        <f>1.55+0.15+0.15</f>
        <v>1.8499999999999999</v>
      </c>
      <c r="H113" s="15">
        <f>+IF(E113=5/8,1.552,IF(E113=1/2,0.994,IF(E113=3/8,0.56,IF(E113=1/4,0.25))))</f>
        <v>0.99399999999999999</v>
      </c>
      <c r="I113" s="15">
        <f>+F113*G113*H113</f>
        <v>3.6777999999999995</v>
      </c>
      <c r="J113" s="15">
        <f>+I113*0.05</f>
        <v>0.18389</v>
      </c>
      <c r="K113" s="16">
        <f>+J113+I113</f>
        <v>3.8616899999999994</v>
      </c>
      <c r="L113" s="18">
        <f>+SUM(K110:K113)</f>
        <v>23.524998</v>
      </c>
      <c r="M113" s="33"/>
    </row>
    <row r="114" spans="2:13" x14ac:dyDescent="0.25">
      <c r="B114" s="32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3"/>
    </row>
    <row r="115" spans="2:13" x14ac:dyDescent="0.25">
      <c r="B115" s="32"/>
      <c r="C115" s="3"/>
      <c r="D115" s="3" t="s">
        <v>25</v>
      </c>
      <c r="E115" s="19"/>
      <c r="F115" s="20"/>
      <c r="G115" s="21"/>
      <c r="H115" s="21"/>
      <c r="I115" s="21"/>
      <c r="J115" s="21"/>
      <c r="K115" s="21"/>
      <c r="L115" s="3"/>
      <c r="M115" s="33"/>
    </row>
    <row r="116" spans="2:13" x14ac:dyDescent="0.25">
      <c r="B116" s="32"/>
      <c r="C116" s="3"/>
      <c r="D116" s="3"/>
      <c r="E116" s="10" t="s">
        <v>8</v>
      </c>
      <c r="F116" s="10" t="s">
        <v>9</v>
      </c>
      <c r="G116" s="11" t="s">
        <v>10</v>
      </c>
      <c r="H116" s="11" t="s">
        <v>11</v>
      </c>
      <c r="I116" s="11" t="s">
        <v>12</v>
      </c>
      <c r="J116" s="11" t="s">
        <v>13</v>
      </c>
      <c r="K116" s="11" t="s">
        <v>14</v>
      </c>
      <c r="L116" s="11" t="s">
        <v>15</v>
      </c>
      <c r="M116" s="33"/>
    </row>
    <row r="117" spans="2:13" x14ac:dyDescent="0.25">
      <c r="B117" s="32"/>
      <c r="C117" s="3"/>
      <c r="D117" s="3"/>
      <c r="E117" s="10">
        <v>1.41</v>
      </c>
      <c r="F117" s="3"/>
      <c r="G117" s="11">
        <f>PI()*E117</f>
        <v>4.4296456415616081</v>
      </c>
      <c r="H117" s="11"/>
      <c r="I117" s="11"/>
      <c r="J117" s="11"/>
      <c r="K117" s="46"/>
      <c r="L117" s="47"/>
      <c r="M117" s="33"/>
    </row>
    <row r="118" spans="2:13" x14ac:dyDescent="0.25">
      <c r="B118" s="32"/>
      <c r="C118" s="22"/>
      <c r="D118" s="22" t="s">
        <v>16</v>
      </c>
      <c r="E118" s="13">
        <v>0.5</v>
      </c>
      <c r="F118" s="41">
        <f>+INT(G117/0.2)</f>
        <v>22</v>
      </c>
      <c r="G118" s="15">
        <f>0.3+G101</f>
        <v>3.3</v>
      </c>
      <c r="H118" s="15">
        <f>IF(E118=5/8,1.56,IF(E118=1/2,0.994,IF(E118=3/8,0.56,IF(E118=1/4,0.25))))</f>
        <v>0.99399999999999999</v>
      </c>
      <c r="I118" s="15">
        <f>+F118*G118*H118</f>
        <v>72.164400000000001</v>
      </c>
      <c r="J118" s="15">
        <f>+I118*0.05</f>
        <v>3.6082200000000002</v>
      </c>
      <c r="K118" s="23">
        <f>+J118+I118</f>
        <v>75.772620000000003</v>
      </c>
      <c r="L118" s="17"/>
      <c r="M118" s="33"/>
    </row>
    <row r="119" spans="2:13" x14ac:dyDescent="0.25">
      <c r="B119" s="32"/>
      <c r="C119" s="22"/>
      <c r="D119" s="22" t="s">
        <v>17</v>
      </c>
      <c r="E119" s="13">
        <v>0.5</v>
      </c>
      <c r="F119" s="41">
        <f>+INT(G101/0.2)</f>
        <v>15</v>
      </c>
      <c r="G119" s="15">
        <f>+F101+0.15+0.15</f>
        <v>1.9</v>
      </c>
      <c r="H119" s="15">
        <f>+IF(E119=5/8,1.56,IF(E119=1/2,0.994,IF(E119=3/8,0.56,IF(E119=1/4,0.25))))</f>
        <v>0.99399999999999999</v>
      </c>
      <c r="I119" s="15">
        <f>+F119*G119*H119</f>
        <v>28.329000000000001</v>
      </c>
      <c r="J119" s="15">
        <f>+I119*0.05</f>
        <v>1.4164500000000002</v>
      </c>
      <c r="K119" s="23">
        <f>+J119+I119</f>
        <v>29.745450000000002</v>
      </c>
      <c r="L119" s="18">
        <f>+SUM(K118:K119)</f>
        <v>105.51807000000001</v>
      </c>
      <c r="M119" s="33"/>
    </row>
    <row r="120" spans="2:13" x14ac:dyDescent="0.25">
      <c r="B120" s="32"/>
      <c r="C120" s="3"/>
      <c r="D120" s="3"/>
      <c r="E120" s="3"/>
      <c r="F120" s="2"/>
      <c r="G120" s="3"/>
      <c r="H120" s="24"/>
      <c r="I120" s="5"/>
      <c r="J120" s="3"/>
      <c r="K120" s="3"/>
      <c r="L120" s="3"/>
      <c r="M120" s="33"/>
    </row>
    <row r="121" spans="2:13" x14ac:dyDescent="0.25">
      <c r="B121" s="32"/>
      <c r="C121" s="3"/>
      <c r="D121" s="3" t="s">
        <v>26</v>
      </c>
      <c r="E121" s="3"/>
      <c r="F121" s="3"/>
      <c r="G121" s="3"/>
      <c r="H121" s="3"/>
      <c r="I121" s="3"/>
      <c r="J121" s="3"/>
      <c r="K121" s="3"/>
      <c r="L121" s="3"/>
      <c r="M121" s="33"/>
    </row>
    <row r="122" spans="2:13" x14ac:dyDescent="0.25">
      <c r="B122" s="32"/>
      <c r="C122" s="3"/>
      <c r="D122" s="3"/>
      <c r="E122" s="10" t="s">
        <v>8</v>
      </c>
      <c r="F122" s="10" t="s">
        <v>9</v>
      </c>
      <c r="G122" s="11" t="s">
        <v>10</v>
      </c>
      <c r="H122" s="11" t="s">
        <v>11</v>
      </c>
      <c r="I122" s="11" t="s">
        <v>12</v>
      </c>
      <c r="J122" s="11" t="s">
        <v>13</v>
      </c>
      <c r="K122" s="11" t="s">
        <v>14</v>
      </c>
      <c r="L122" s="12" t="s">
        <v>15</v>
      </c>
      <c r="M122" s="33"/>
    </row>
    <row r="123" spans="2:13" x14ac:dyDescent="0.25">
      <c r="B123" s="32"/>
      <c r="C123" s="3"/>
      <c r="D123" s="22" t="s">
        <v>23</v>
      </c>
      <c r="E123" s="13">
        <v>0.5</v>
      </c>
      <c r="F123" s="14">
        <v>2</v>
      </c>
      <c r="G123" s="15">
        <f>0.4+0.2+0.2</f>
        <v>0.8</v>
      </c>
      <c r="H123" s="15">
        <f>+IF(E123=5/8,1.552,IF(E123=1/2,0.994,IF(E123=3/8,0.56,IF(E123=1/4,0.25))))</f>
        <v>0.99399999999999999</v>
      </c>
      <c r="I123" s="15">
        <f>+F123*G123*H123</f>
        <v>1.5904</v>
      </c>
      <c r="J123" s="15">
        <f>+I123*0.05</f>
        <v>7.9520000000000007E-2</v>
      </c>
      <c r="K123" s="16">
        <f>+J123+I123</f>
        <v>1.6699200000000001</v>
      </c>
      <c r="L123" s="17"/>
      <c r="M123" s="33"/>
    </row>
    <row r="124" spans="2:13" x14ac:dyDescent="0.25">
      <c r="B124" s="32"/>
      <c r="C124" s="3"/>
      <c r="D124" s="22" t="s">
        <v>23</v>
      </c>
      <c r="E124" s="13">
        <v>0.5</v>
      </c>
      <c r="F124" s="14">
        <v>2</v>
      </c>
      <c r="G124" s="15">
        <f>0.87+0.2+0.2</f>
        <v>1.27</v>
      </c>
      <c r="H124" s="15">
        <f t="shared" ref="H124:H131" si="32">+IF(E124=5/8,1.552,IF(E124=1/2,0.994,IF(E124=3/8,0.56,IF(E124=1/4,0.25))))</f>
        <v>0.99399999999999999</v>
      </c>
      <c r="I124" s="15">
        <f t="shared" ref="I124:I131" si="33">+F124*G124*H124</f>
        <v>2.5247600000000001</v>
      </c>
      <c r="J124" s="15">
        <f t="shared" ref="J124:J131" si="34">+I124*0.05</f>
        <v>0.12623800000000002</v>
      </c>
      <c r="K124" s="16">
        <f t="shared" ref="K124:K131" si="35">+J124+I124</f>
        <v>2.650998</v>
      </c>
      <c r="L124" s="17"/>
      <c r="M124" s="33"/>
    </row>
    <row r="125" spans="2:13" x14ac:dyDescent="0.25">
      <c r="B125" s="32"/>
      <c r="C125" s="3"/>
      <c r="D125" s="22" t="s">
        <v>23</v>
      </c>
      <c r="E125" s="13">
        <v>0.5</v>
      </c>
      <c r="F125" s="14">
        <v>2</v>
      </c>
      <c r="G125" s="15">
        <f>1.13+0.2+0.2</f>
        <v>1.5299999999999998</v>
      </c>
      <c r="H125" s="15">
        <f t="shared" si="32"/>
        <v>0.99399999999999999</v>
      </c>
      <c r="I125" s="15">
        <f t="shared" si="33"/>
        <v>3.0416399999999997</v>
      </c>
      <c r="J125" s="15">
        <f t="shared" si="34"/>
        <v>0.15208199999999999</v>
      </c>
      <c r="K125" s="16">
        <f t="shared" si="35"/>
        <v>3.1937219999999997</v>
      </c>
      <c r="L125" s="17"/>
      <c r="M125" s="33"/>
    </row>
    <row r="126" spans="2:13" x14ac:dyDescent="0.25">
      <c r="B126" s="32"/>
      <c r="C126" s="3"/>
      <c r="D126" s="22" t="s">
        <v>23</v>
      </c>
      <c r="E126" s="13">
        <v>0.5</v>
      </c>
      <c r="F126" s="14">
        <v>2</v>
      </c>
      <c r="G126" s="15">
        <f>1.31+0.2+0.2</f>
        <v>1.71</v>
      </c>
      <c r="H126" s="15">
        <f t="shared" si="32"/>
        <v>0.99399999999999999</v>
      </c>
      <c r="I126" s="15">
        <f t="shared" si="33"/>
        <v>3.3994800000000001</v>
      </c>
      <c r="J126" s="15">
        <f t="shared" si="34"/>
        <v>0.16997400000000001</v>
      </c>
      <c r="K126" s="16">
        <f t="shared" si="35"/>
        <v>3.5694539999999999</v>
      </c>
      <c r="L126" s="17"/>
      <c r="M126" s="33"/>
    </row>
    <row r="127" spans="2:13" x14ac:dyDescent="0.25">
      <c r="B127" s="32"/>
      <c r="C127" s="3"/>
      <c r="D127" s="22" t="s">
        <v>23</v>
      </c>
      <c r="E127" s="13">
        <v>0.5</v>
      </c>
      <c r="F127" s="14">
        <v>2</v>
      </c>
      <c r="G127" s="15">
        <f>1.44+0.2+0.2</f>
        <v>1.8399999999999999</v>
      </c>
      <c r="H127" s="15">
        <f t="shared" si="32"/>
        <v>0.99399999999999999</v>
      </c>
      <c r="I127" s="15">
        <f t="shared" si="33"/>
        <v>3.6579199999999998</v>
      </c>
      <c r="J127" s="15">
        <f t="shared" si="34"/>
        <v>0.182896</v>
      </c>
      <c r="K127" s="16">
        <f t="shared" si="35"/>
        <v>3.8408159999999998</v>
      </c>
      <c r="L127" s="17"/>
      <c r="M127" s="33"/>
    </row>
    <row r="128" spans="2:13" x14ac:dyDescent="0.25">
      <c r="B128" s="32"/>
      <c r="C128" s="3"/>
      <c r="D128" s="22" t="s">
        <v>23</v>
      </c>
      <c r="E128" s="13">
        <v>0.5</v>
      </c>
      <c r="F128" s="14">
        <v>4</v>
      </c>
      <c r="G128" s="15">
        <f>0.59+0.2+0.2</f>
        <v>0.99</v>
      </c>
      <c r="H128" s="15">
        <f t="shared" si="32"/>
        <v>0.99399999999999999</v>
      </c>
      <c r="I128" s="15">
        <f t="shared" si="33"/>
        <v>3.9362399999999997</v>
      </c>
      <c r="J128" s="15">
        <f t="shared" si="34"/>
        <v>0.19681199999999999</v>
      </c>
      <c r="K128" s="16">
        <f t="shared" si="35"/>
        <v>4.1330519999999993</v>
      </c>
      <c r="L128" s="17"/>
      <c r="M128" s="33"/>
    </row>
    <row r="129" spans="2:15" x14ac:dyDescent="0.25">
      <c r="B129" s="32"/>
      <c r="C129" s="3"/>
      <c r="D129" s="22" t="s">
        <v>23</v>
      </c>
      <c r="E129" s="13">
        <v>0.5</v>
      </c>
      <c r="F129" s="14">
        <v>4</v>
      </c>
      <c r="G129" s="15">
        <f>0.51+0.2+0.2</f>
        <v>0.90999999999999992</v>
      </c>
      <c r="H129" s="15">
        <f t="shared" si="32"/>
        <v>0.99399999999999999</v>
      </c>
      <c r="I129" s="15">
        <f t="shared" si="33"/>
        <v>3.6181599999999996</v>
      </c>
      <c r="J129" s="15">
        <f t="shared" si="34"/>
        <v>0.18090799999999999</v>
      </c>
      <c r="K129" s="16">
        <f t="shared" si="35"/>
        <v>3.7990679999999997</v>
      </c>
      <c r="L129" s="17"/>
      <c r="M129" s="33"/>
    </row>
    <row r="130" spans="2:15" x14ac:dyDescent="0.25">
      <c r="B130" s="32"/>
      <c r="C130" s="3"/>
      <c r="D130" s="22" t="s">
        <v>23</v>
      </c>
      <c r="E130" s="13">
        <v>0.5</v>
      </c>
      <c r="F130" s="14">
        <v>4</v>
      </c>
      <c r="G130" s="15">
        <f>0.48+0.2+0.2</f>
        <v>0.87999999999999989</v>
      </c>
      <c r="H130" s="15">
        <f t="shared" si="32"/>
        <v>0.99399999999999999</v>
      </c>
      <c r="I130" s="15">
        <f t="shared" si="33"/>
        <v>3.4988799999999998</v>
      </c>
      <c r="J130" s="15">
        <f t="shared" si="34"/>
        <v>0.17494399999999999</v>
      </c>
      <c r="K130" s="16">
        <f t="shared" si="35"/>
        <v>3.6738239999999998</v>
      </c>
      <c r="L130" s="17"/>
      <c r="M130" s="33"/>
    </row>
    <row r="131" spans="2:15" x14ac:dyDescent="0.25">
      <c r="B131" s="32"/>
      <c r="C131" s="3"/>
      <c r="D131" s="22" t="s">
        <v>23</v>
      </c>
      <c r="E131" s="13">
        <v>0.5</v>
      </c>
      <c r="F131" s="14">
        <v>2</v>
      </c>
      <c r="G131" s="15">
        <f>0.48+0.2+0.2</f>
        <v>0.87999999999999989</v>
      </c>
      <c r="H131" s="15">
        <f t="shared" si="32"/>
        <v>0.99399999999999999</v>
      </c>
      <c r="I131" s="15">
        <f t="shared" si="33"/>
        <v>1.7494399999999999</v>
      </c>
      <c r="J131" s="15">
        <f t="shared" si="34"/>
        <v>8.7471999999999994E-2</v>
      </c>
      <c r="K131" s="16">
        <f t="shared" si="35"/>
        <v>1.8369119999999999</v>
      </c>
      <c r="L131" s="18">
        <f>+SUM(K123:K131)</f>
        <v>28.367765999999996</v>
      </c>
      <c r="M131" s="33"/>
    </row>
    <row r="132" spans="2:15" x14ac:dyDescent="0.25">
      <c r="B132" s="32"/>
      <c r="C132" s="3"/>
      <c r="D132" s="3"/>
      <c r="E132" s="42"/>
      <c r="F132" s="43"/>
      <c r="G132" s="44"/>
      <c r="H132" s="44"/>
      <c r="I132" s="44"/>
      <c r="J132" s="44"/>
      <c r="K132" s="43"/>
      <c r="L132" s="45"/>
      <c r="M132" s="33"/>
    </row>
    <row r="133" spans="2:15" x14ac:dyDescent="0.25">
      <c r="B133" s="32"/>
      <c r="C133" s="3"/>
      <c r="D133" s="3"/>
      <c r="E133" s="10" t="s">
        <v>8</v>
      </c>
      <c r="F133" s="10" t="s">
        <v>9</v>
      </c>
      <c r="G133" s="11" t="s">
        <v>10</v>
      </c>
      <c r="H133" s="11" t="s">
        <v>11</v>
      </c>
      <c r="I133" s="11" t="s">
        <v>12</v>
      </c>
      <c r="J133" s="11" t="s">
        <v>13</v>
      </c>
      <c r="K133" s="11" t="s">
        <v>14</v>
      </c>
      <c r="L133" s="12" t="s">
        <v>15</v>
      </c>
      <c r="M133" s="33"/>
    </row>
    <row r="134" spans="2:15" x14ac:dyDescent="0.25">
      <c r="B134" s="32"/>
      <c r="C134" s="3"/>
      <c r="D134" s="22" t="s">
        <v>24</v>
      </c>
      <c r="E134" s="13">
        <v>0.5</v>
      </c>
      <c r="F134" s="14">
        <v>2</v>
      </c>
      <c r="G134" s="15">
        <f>0.4+0.2+0.2</f>
        <v>0.8</v>
      </c>
      <c r="H134" s="15">
        <f>+IF(E134=5/8,1.552,IF(E134=1/2,0.994,IF(E134=3/8,0.56,IF(E134=1/4,0.25))))</f>
        <v>0.99399999999999999</v>
      </c>
      <c r="I134" s="15">
        <f t="shared" ref="I134:I142" si="36">+F134*G134*H134</f>
        <v>1.5904</v>
      </c>
      <c r="J134" s="15">
        <f>+I134*0.05</f>
        <v>7.9520000000000007E-2</v>
      </c>
      <c r="K134" s="16">
        <f>+J134+I134</f>
        <v>1.6699200000000001</v>
      </c>
      <c r="L134" s="17"/>
      <c r="M134" s="33"/>
    </row>
    <row r="135" spans="2:15" x14ac:dyDescent="0.25">
      <c r="B135" s="32"/>
      <c r="C135" s="3"/>
      <c r="D135" s="22" t="s">
        <v>24</v>
      </c>
      <c r="E135" s="13">
        <v>0.5</v>
      </c>
      <c r="F135" s="14">
        <v>2</v>
      </c>
      <c r="G135" s="15">
        <f>0.87+0.2+0.2</f>
        <v>1.27</v>
      </c>
      <c r="H135" s="15">
        <f t="shared" ref="H135:H142" si="37">+IF(E135=5/8,1.552,IF(E135=1/2,0.994,IF(E135=3/8,0.56,IF(E135=1/4,0.25))))</f>
        <v>0.99399999999999999</v>
      </c>
      <c r="I135" s="15">
        <f t="shared" si="36"/>
        <v>2.5247600000000001</v>
      </c>
      <c r="J135" s="15">
        <f t="shared" ref="J135:J142" si="38">+I135*0.05</f>
        <v>0.12623800000000002</v>
      </c>
      <c r="K135" s="16">
        <f t="shared" ref="K135:K142" si="39">+J135+I135</f>
        <v>2.650998</v>
      </c>
      <c r="L135" s="17"/>
      <c r="M135" s="33"/>
    </row>
    <row r="136" spans="2:15" x14ac:dyDescent="0.25">
      <c r="B136" s="32"/>
      <c r="C136" s="3"/>
      <c r="D136" s="22" t="s">
        <v>24</v>
      </c>
      <c r="E136" s="13">
        <v>0.5</v>
      </c>
      <c r="F136" s="14">
        <v>2</v>
      </c>
      <c r="G136" s="15">
        <f>1.13+0.2+0.2</f>
        <v>1.5299999999999998</v>
      </c>
      <c r="H136" s="15">
        <f t="shared" si="37"/>
        <v>0.99399999999999999</v>
      </c>
      <c r="I136" s="15">
        <f t="shared" si="36"/>
        <v>3.0416399999999997</v>
      </c>
      <c r="J136" s="15">
        <f t="shared" si="38"/>
        <v>0.15208199999999999</v>
      </c>
      <c r="K136" s="16">
        <f t="shared" si="39"/>
        <v>3.1937219999999997</v>
      </c>
      <c r="L136" s="17"/>
      <c r="M136" s="33"/>
    </row>
    <row r="137" spans="2:15" x14ac:dyDescent="0.25">
      <c r="B137" s="32"/>
      <c r="C137" s="3"/>
      <c r="D137" s="22" t="s">
        <v>24</v>
      </c>
      <c r="E137" s="13">
        <v>0.5</v>
      </c>
      <c r="F137" s="14">
        <v>2</v>
      </c>
      <c r="G137" s="15">
        <f>1.31+0.2+0.2</f>
        <v>1.71</v>
      </c>
      <c r="H137" s="15">
        <f t="shared" si="37"/>
        <v>0.99399999999999999</v>
      </c>
      <c r="I137" s="15">
        <f t="shared" si="36"/>
        <v>3.3994800000000001</v>
      </c>
      <c r="J137" s="15">
        <f t="shared" si="38"/>
        <v>0.16997400000000001</v>
      </c>
      <c r="K137" s="16">
        <f t="shared" si="39"/>
        <v>3.5694539999999999</v>
      </c>
      <c r="L137" s="17"/>
      <c r="M137" s="33"/>
    </row>
    <row r="138" spans="2:15" x14ac:dyDescent="0.25">
      <c r="B138" s="32"/>
      <c r="C138" s="3"/>
      <c r="D138" s="22" t="s">
        <v>30</v>
      </c>
      <c r="E138" s="13">
        <v>0.5</v>
      </c>
      <c r="F138" s="14">
        <v>2</v>
      </c>
      <c r="G138" s="15">
        <f>1.44+0.2+0.2</f>
        <v>1.8399999999999999</v>
      </c>
      <c r="H138" s="15">
        <f t="shared" si="37"/>
        <v>0.99399999999999999</v>
      </c>
      <c r="I138" s="15">
        <f t="shared" si="36"/>
        <v>3.6579199999999998</v>
      </c>
      <c r="J138" s="15">
        <f t="shared" si="38"/>
        <v>0.182896</v>
      </c>
      <c r="K138" s="16">
        <f t="shared" si="39"/>
        <v>3.8408159999999998</v>
      </c>
      <c r="L138" s="17"/>
      <c r="M138" s="33"/>
    </row>
    <row r="139" spans="2:15" x14ac:dyDescent="0.25">
      <c r="B139" s="32"/>
      <c r="C139" s="3"/>
      <c r="D139" s="22" t="s">
        <v>24</v>
      </c>
      <c r="E139" s="13">
        <v>0.5</v>
      </c>
      <c r="F139" s="14">
        <v>4</v>
      </c>
      <c r="G139" s="15">
        <f>0.59+0.2+0.2</f>
        <v>0.99</v>
      </c>
      <c r="H139" s="15">
        <f t="shared" si="37"/>
        <v>0.99399999999999999</v>
      </c>
      <c r="I139" s="15">
        <f t="shared" si="36"/>
        <v>3.9362399999999997</v>
      </c>
      <c r="J139" s="15">
        <f t="shared" si="38"/>
        <v>0.19681199999999999</v>
      </c>
      <c r="K139" s="16">
        <f t="shared" si="39"/>
        <v>4.1330519999999993</v>
      </c>
      <c r="L139" s="17"/>
      <c r="M139" s="33"/>
    </row>
    <row r="140" spans="2:15" x14ac:dyDescent="0.25">
      <c r="B140" s="32"/>
      <c r="C140" s="3"/>
      <c r="D140" s="22" t="s">
        <v>24</v>
      </c>
      <c r="E140" s="13">
        <v>0.5</v>
      </c>
      <c r="F140" s="14">
        <v>4</v>
      </c>
      <c r="G140" s="15">
        <f>0.51+0.2+0.2</f>
        <v>0.90999999999999992</v>
      </c>
      <c r="H140" s="15">
        <f t="shared" si="37"/>
        <v>0.99399999999999999</v>
      </c>
      <c r="I140" s="15">
        <f t="shared" si="36"/>
        <v>3.6181599999999996</v>
      </c>
      <c r="J140" s="15">
        <f t="shared" si="38"/>
        <v>0.18090799999999999</v>
      </c>
      <c r="K140" s="16">
        <f t="shared" si="39"/>
        <v>3.7990679999999997</v>
      </c>
      <c r="L140" s="17"/>
      <c r="M140" s="33"/>
    </row>
    <row r="141" spans="2:15" x14ac:dyDescent="0.25">
      <c r="B141" s="32"/>
      <c r="C141" s="3"/>
      <c r="D141" s="22" t="s">
        <v>24</v>
      </c>
      <c r="E141" s="13">
        <v>0.5</v>
      </c>
      <c r="F141" s="14">
        <v>4</v>
      </c>
      <c r="G141" s="15">
        <f>0.48+0.2+0.2</f>
        <v>0.87999999999999989</v>
      </c>
      <c r="H141" s="15">
        <f t="shared" si="37"/>
        <v>0.99399999999999999</v>
      </c>
      <c r="I141" s="15">
        <f t="shared" si="36"/>
        <v>3.4988799999999998</v>
      </c>
      <c r="J141" s="15">
        <f t="shared" si="38"/>
        <v>0.17494399999999999</v>
      </c>
      <c r="K141" s="16">
        <f t="shared" si="39"/>
        <v>3.6738239999999998</v>
      </c>
      <c r="L141" s="17"/>
      <c r="M141" s="33"/>
    </row>
    <row r="142" spans="2:15" x14ac:dyDescent="0.25">
      <c r="B142" s="32"/>
      <c r="C142" s="3"/>
      <c r="D142" s="22" t="s">
        <v>24</v>
      </c>
      <c r="E142" s="13">
        <v>0.5</v>
      </c>
      <c r="F142" s="14">
        <v>2</v>
      </c>
      <c r="G142" s="15">
        <f>0.48+0.2+0.2</f>
        <v>0.87999999999999989</v>
      </c>
      <c r="H142" s="15">
        <f t="shared" si="37"/>
        <v>0.99399999999999999</v>
      </c>
      <c r="I142" s="15">
        <f t="shared" si="36"/>
        <v>1.7494399999999999</v>
      </c>
      <c r="J142" s="15">
        <f t="shared" si="38"/>
        <v>8.7471999999999994E-2</v>
      </c>
      <c r="K142" s="16">
        <f t="shared" si="39"/>
        <v>1.8369119999999999</v>
      </c>
      <c r="L142" s="18">
        <f>+SUM(K134:K142)</f>
        <v>28.367765999999996</v>
      </c>
      <c r="M142" s="33"/>
    </row>
    <row r="143" spans="2:15" x14ac:dyDescent="0.25">
      <c r="B143" s="32"/>
      <c r="C143" s="3"/>
      <c r="D143" s="22"/>
      <c r="E143" s="42"/>
      <c r="F143" s="43"/>
      <c r="G143" s="44"/>
      <c r="H143" s="44"/>
      <c r="I143" s="44"/>
      <c r="J143" s="44"/>
      <c r="K143" s="44"/>
      <c r="L143" s="45"/>
      <c r="M143" s="33"/>
    </row>
    <row r="144" spans="2:15" x14ac:dyDescent="0.25">
      <c r="B144" s="32"/>
      <c r="C144" s="3"/>
      <c r="D144" s="57"/>
      <c r="E144" s="55" t="s">
        <v>28</v>
      </c>
      <c r="F144" s="43"/>
      <c r="G144" s="44"/>
      <c r="H144" s="44"/>
      <c r="I144" s="44"/>
      <c r="J144" s="44"/>
      <c r="K144" s="44"/>
      <c r="L144" s="45">
        <f>SUM(L142+L131)</f>
        <v>56.735531999999992</v>
      </c>
      <c r="M144" s="33"/>
      <c r="O144" s="62"/>
    </row>
    <row r="145" spans="2:13" x14ac:dyDescent="0.25">
      <c r="B145" s="32"/>
      <c r="C145" s="3"/>
      <c r="D145" s="22"/>
      <c r="E145" s="10" t="s">
        <v>8</v>
      </c>
      <c r="F145" s="10" t="s">
        <v>9</v>
      </c>
      <c r="G145" s="11" t="s">
        <v>10</v>
      </c>
      <c r="H145" s="11" t="s">
        <v>11</v>
      </c>
      <c r="I145" s="11" t="s">
        <v>12</v>
      </c>
      <c r="J145" s="11" t="s">
        <v>13</v>
      </c>
      <c r="K145" s="11" t="s">
        <v>14</v>
      </c>
      <c r="L145" s="12" t="s">
        <v>15</v>
      </c>
      <c r="M145" s="33"/>
    </row>
    <row r="146" spans="2:13" x14ac:dyDescent="0.25">
      <c r="B146" s="32"/>
      <c r="C146" s="3"/>
      <c r="D146" s="22"/>
      <c r="E146" s="13">
        <v>0.5</v>
      </c>
      <c r="F146" s="14">
        <v>4</v>
      </c>
      <c r="G146" s="15">
        <f>1.49+0.2+0.2</f>
        <v>1.89</v>
      </c>
      <c r="H146" s="15">
        <f>+IF(E146=5/8,1.552,IF(E146=1/2,0.994,IF(E146=3/8,0.56,IF(E146=1/4,0.25))))</f>
        <v>0.99399999999999999</v>
      </c>
      <c r="I146" s="15">
        <f t="shared" ref="I146:I147" si="40">+F146*G146*H146</f>
        <v>7.51464</v>
      </c>
      <c r="J146" s="15">
        <f>+I146*0.05</f>
        <v>0.37573200000000001</v>
      </c>
      <c r="K146" s="15">
        <f>+J146+I146</f>
        <v>7.8903720000000002</v>
      </c>
      <c r="L146" s="17"/>
      <c r="M146" s="33"/>
    </row>
    <row r="147" spans="2:13" x14ac:dyDescent="0.25">
      <c r="B147" s="32"/>
      <c r="C147" s="3"/>
      <c r="D147" s="22"/>
      <c r="E147" s="13">
        <v>0.5</v>
      </c>
      <c r="F147" s="14">
        <v>4</v>
      </c>
      <c r="G147" s="15">
        <f>1.49+0.2+0.2</f>
        <v>1.89</v>
      </c>
      <c r="H147" s="15">
        <f t="shared" ref="H147" si="41">+IF(E147=5/8,1.552,IF(E147=1/2,0.994,IF(E147=3/8,0.56,IF(E147=1/4,0.25))))</f>
        <v>0.99399999999999999</v>
      </c>
      <c r="I147" s="15">
        <f t="shared" si="40"/>
        <v>7.51464</v>
      </c>
      <c r="J147" s="15">
        <f t="shared" ref="J147" si="42">+I147*0.05</f>
        <v>0.37573200000000001</v>
      </c>
      <c r="K147" s="15">
        <f t="shared" ref="K147" si="43">+J147+I147</f>
        <v>7.8903720000000002</v>
      </c>
      <c r="L147" s="18">
        <f>SUM(K146:K147)</f>
        <v>15.780744</v>
      </c>
      <c r="M147" s="33"/>
    </row>
    <row r="148" spans="2:13" x14ac:dyDescent="0.25">
      <c r="B148" s="32"/>
      <c r="C148" s="3"/>
      <c r="D148" s="22"/>
      <c r="E148" s="42"/>
      <c r="F148" s="43"/>
      <c r="G148" s="44"/>
      <c r="H148" s="44"/>
      <c r="I148" s="44"/>
      <c r="J148" s="44"/>
      <c r="K148" s="44"/>
      <c r="L148" s="45"/>
      <c r="M148" s="33"/>
    </row>
    <row r="149" spans="2:13" x14ac:dyDescent="0.25">
      <c r="B149" s="34"/>
      <c r="C149" s="25"/>
      <c r="D149" s="25"/>
      <c r="E149" s="25"/>
      <c r="F149" s="25"/>
      <c r="G149" s="26"/>
      <c r="H149" s="7" t="s">
        <v>18</v>
      </c>
      <c r="I149" s="27">
        <f>+L131+L119+L113+L142+L147</f>
        <v>201.55934400000001</v>
      </c>
      <c r="J149" s="28" t="s">
        <v>19</v>
      </c>
      <c r="K149" s="25"/>
      <c r="L149" s="25"/>
      <c r="M149" s="35"/>
    </row>
    <row r="150" spans="2:13" ht="15.75" thickBot="1" x14ac:dyDescent="0.3"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8"/>
    </row>
    <row r="151" spans="2:13" ht="15.75" thickTop="1" x14ac:dyDescent="0.25"/>
    <row r="153" spans="2:13" ht="15.75" thickBot="1" x14ac:dyDescent="0.3"/>
    <row r="154" spans="2:13" ht="15.75" thickTop="1" x14ac:dyDescent="0.25">
      <c r="B154" s="29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1"/>
    </row>
    <row r="155" spans="2:13" ht="19.5" x14ac:dyDescent="0.3">
      <c r="B155" s="32"/>
      <c r="C155" s="60" t="s">
        <v>35</v>
      </c>
      <c r="D155" s="60"/>
      <c r="E155" s="60"/>
      <c r="F155" s="60"/>
      <c r="G155" s="60"/>
      <c r="H155" s="60"/>
      <c r="I155" s="60"/>
      <c r="J155" s="60"/>
      <c r="K155" s="60"/>
      <c r="L155" s="60"/>
      <c r="M155" s="56"/>
    </row>
    <row r="156" spans="2:13" x14ac:dyDescent="0.25">
      <c r="B156" s="32"/>
      <c r="D156" s="53" t="s">
        <v>21</v>
      </c>
      <c r="E156" s="3"/>
      <c r="F156" s="3"/>
      <c r="G156" s="3"/>
      <c r="H156" s="3"/>
      <c r="I156" s="3"/>
      <c r="J156" s="3"/>
      <c r="K156" s="3"/>
      <c r="L156" s="3"/>
      <c r="M156" s="33"/>
    </row>
    <row r="157" spans="2:13" x14ac:dyDescent="0.25">
      <c r="B157" s="32"/>
      <c r="C157" s="3"/>
      <c r="D157" s="40" t="s">
        <v>22</v>
      </c>
      <c r="E157" s="3"/>
      <c r="F157" s="3"/>
      <c r="G157" s="3"/>
      <c r="H157" s="3"/>
      <c r="I157" s="3"/>
      <c r="J157" s="3"/>
      <c r="K157" s="3"/>
      <c r="L157" s="3"/>
      <c r="M157" s="33"/>
    </row>
    <row r="158" spans="2:13" x14ac:dyDescent="0.25">
      <c r="B158" s="32"/>
      <c r="C158" s="3"/>
      <c r="D158" s="40"/>
      <c r="E158" s="4" t="s">
        <v>0</v>
      </c>
      <c r="F158" s="4" t="s">
        <v>1</v>
      </c>
      <c r="G158" s="4" t="s">
        <v>2</v>
      </c>
      <c r="H158" s="4" t="s">
        <v>3</v>
      </c>
      <c r="I158" s="3"/>
      <c r="J158" s="40"/>
      <c r="K158" s="40"/>
      <c r="L158" s="40"/>
      <c r="M158" s="58"/>
    </row>
    <row r="159" spans="2:13" x14ac:dyDescent="0.25">
      <c r="B159" s="32"/>
      <c r="C159" s="3"/>
      <c r="D159" s="40"/>
      <c r="E159" s="49">
        <f>1.2+0.15+0.15</f>
        <v>1.4999999999999998</v>
      </c>
      <c r="F159" s="49">
        <f>PI()*(E159/2)^2</f>
        <v>1.767145867644258</v>
      </c>
      <c r="G159" s="49">
        <v>0.2</v>
      </c>
      <c r="H159" s="49">
        <f>+G159*F159</f>
        <v>0.35342917352885161</v>
      </c>
      <c r="I159" s="3"/>
      <c r="J159" s="5"/>
      <c r="K159" s="5"/>
      <c r="L159" s="5"/>
      <c r="M159" s="59"/>
    </row>
    <row r="160" spans="2:13" x14ac:dyDescent="0.25">
      <c r="B160" s="32"/>
      <c r="C160" s="3"/>
      <c r="D160" s="40" t="s">
        <v>4</v>
      </c>
      <c r="E160" s="3"/>
      <c r="F160" s="3"/>
      <c r="G160" s="3"/>
      <c r="H160" s="3"/>
      <c r="I160" s="3"/>
      <c r="J160" s="3"/>
      <c r="K160" s="3"/>
      <c r="L160" s="3"/>
      <c r="M160" s="33"/>
    </row>
    <row r="161" spans="2:13" x14ac:dyDescent="0.25">
      <c r="B161" s="32"/>
      <c r="C161" s="3"/>
      <c r="D161" s="40"/>
      <c r="E161" s="4" t="s">
        <v>32</v>
      </c>
      <c r="F161" s="4" t="s">
        <v>33</v>
      </c>
      <c r="G161" s="4" t="s">
        <v>5</v>
      </c>
      <c r="H161" s="4" t="s">
        <v>34</v>
      </c>
      <c r="I161" s="4" t="s">
        <v>3</v>
      </c>
      <c r="J161" s="3"/>
      <c r="K161" s="39"/>
      <c r="L161" s="3"/>
      <c r="M161" s="33"/>
    </row>
    <row r="162" spans="2:13" x14ac:dyDescent="0.25">
      <c r="B162" s="32"/>
      <c r="C162" s="3"/>
      <c r="D162" s="40"/>
      <c r="E162" s="49">
        <v>1.2</v>
      </c>
      <c r="F162" s="49">
        <v>1.5</v>
      </c>
      <c r="G162" s="49">
        <v>2.5</v>
      </c>
      <c r="H162" s="49">
        <f>(PI()*((F162/2)^2))-(PI()*((E162/2)^2))</f>
        <v>0.63617251235193306</v>
      </c>
      <c r="I162" s="49">
        <f>G162*H162</f>
        <v>1.5904312808798327</v>
      </c>
      <c r="J162" s="3"/>
      <c r="K162" s="3"/>
      <c r="L162" s="3"/>
      <c r="M162" s="33"/>
    </row>
    <row r="163" spans="2:13" x14ac:dyDescent="0.25">
      <c r="B163" s="32"/>
      <c r="C163" s="3"/>
      <c r="D163" s="40" t="s">
        <v>26</v>
      </c>
      <c r="E163" s="3"/>
      <c r="F163" s="3"/>
      <c r="G163" s="3"/>
      <c r="H163" s="3"/>
      <c r="I163" s="3"/>
      <c r="J163" s="3"/>
      <c r="K163" s="3"/>
      <c r="L163" s="3"/>
      <c r="M163" s="33"/>
    </row>
    <row r="164" spans="2:13" x14ac:dyDescent="0.25">
      <c r="B164" s="32"/>
      <c r="C164" s="3"/>
      <c r="D164" s="3"/>
      <c r="E164" s="4" t="s">
        <v>0</v>
      </c>
      <c r="F164" s="4" t="s">
        <v>1</v>
      </c>
      <c r="G164" s="4" t="s">
        <v>2</v>
      </c>
      <c r="H164" s="4" t="s">
        <v>3</v>
      </c>
      <c r="I164" s="3"/>
      <c r="J164" s="3"/>
      <c r="K164" s="3"/>
      <c r="L164" s="3"/>
      <c r="M164" s="33"/>
    </row>
    <row r="165" spans="2:13" x14ac:dyDescent="0.25">
      <c r="B165" s="32"/>
      <c r="C165" s="3"/>
      <c r="D165" s="3"/>
      <c r="E165" s="49">
        <f>1.5+0.05+0.05</f>
        <v>1.6</v>
      </c>
      <c r="F165" s="49">
        <f>PI()*E165^2/4</f>
        <v>2.0106192982974678</v>
      </c>
      <c r="G165" s="49">
        <v>0.2</v>
      </c>
      <c r="H165" s="49">
        <f>+G165*F165</f>
        <v>0.4021238596594936</v>
      </c>
      <c r="I165" s="3"/>
      <c r="J165" s="3"/>
      <c r="K165" s="3"/>
      <c r="L165" s="3"/>
      <c r="M165" s="33"/>
    </row>
    <row r="166" spans="2:13" x14ac:dyDescent="0.25">
      <c r="B166" s="32"/>
      <c r="C166" s="3"/>
      <c r="D166" s="3"/>
      <c r="E166" s="5"/>
      <c r="F166" s="5"/>
      <c r="G166" s="5"/>
      <c r="H166" s="5"/>
      <c r="I166" s="3"/>
      <c r="J166" s="3"/>
      <c r="K166" s="3"/>
      <c r="L166" s="3"/>
      <c r="M166" s="33"/>
    </row>
    <row r="167" spans="2:13" x14ac:dyDescent="0.25">
      <c r="B167" s="32"/>
      <c r="C167" s="3"/>
      <c r="D167" s="3"/>
      <c r="E167" s="3"/>
      <c r="F167" s="2"/>
      <c r="G167" s="6"/>
      <c r="H167" s="7" t="s">
        <v>6</v>
      </c>
      <c r="I167" s="8">
        <f>+H165+I162+H159</f>
        <v>2.3459843140681778</v>
      </c>
      <c r="J167" s="9" t="s">
        <v>7</v>
      </c>
      <c r="K167" s="3"/>
      <c r="L167" s="3"/>
      <c r="M167" s="33"/>
    </row>
    <row r="168" spans="2:13" x14ac:dyDescent="0.25">
      <c r="B168" s="32"/>
      <c r="D168" s="52" t="s">
        <v>20</v>
      </c>
      <c r="E168" s="3"/>
      <c r="F168" s="3"/>
      <c r="G168" s="3"/>
      <c r="H168" s="3"/>
      <c r="I168" s="3"/>
      <c r="J168" s="3"/>
      <c r="K168" s="3"/>
      <c r="L168" s="3"/>
      <c r="M168" s="33"/>
    </row>
    <row r="169" spans="2:13" x14ac:dyDescent="0.25">
      <c r="B169" s="32"/>
      <c r="C169" s="3"/>
      <c r="D169" s="3" t="s">
        <v>22</v>
      </c>
      <c r="E169" s="3"/>
      <c r="F169" s="3"/>
      <c r="G169" s="3"/>
      <c r="H169" s="3"/>
      <c r="I169" s="3"/>
      <c r="J169" s="3"/>
      <c r="K169" s="3"/>
      <c r="L169" s="3"/>
      <c r="M169" s="33"/>
    </row>
    <row r="170" spans="2:13" x14ac:dyDescent="0.25">
      <c r="B170" s="32"/>
      <c r="C170" s="3"/>
      <c r="D170" s="3"/>
      <c r="E170" s="10" t="s">
        <v>8</v>
      </c>
      <c r="F170" s="10" t="s">
        <v>9</v>
      </c>
      <c r="G170" s="11" t="s">
        <v>10</v>
      </c>
      <c r="H170" s="11" t="s">
        <v>11</v>
      </c>
      <c r="I170" s="11" t="s">
        <v>12</v>
      </c>
      <c r="J170" s="11" t="s">
        <v>13</v>
      </c>
      <c r="K170" s="11" t="s">
        <v>14</v>
      </c>
      <c r="L170" s="12" t="s">
        <v>15</v>
      </c>
      <c r="M170" s="33"/>
    </row>
    <row r="171" spans="2:13" x14ac:dyDescent="0.25">
      <c r="B171" s="32"/>
      <c r="C171" s="3"/>
      <c r="D171" s="3"/>
      <c r="E171" s="13">
        <v>0.5</v>
      </c>
      <c r="F171" s="14">
        <v>4</v>
      </c>
      <c r="G171" s="15">
        <f>0.62+0.15+0.15</f>
        <v>0.92</v>
      </c>
      <c r="H171" s="15">
        <f>+IF(E171=5/8,1.552,IF(E171=1/2,0.994,IF(E171=3/8,0.56,IF(E171=1/4,0.25))))</f>
        <v>0.99399999999999999</v>
      </c>
      <c r="I171" s="15">
        <f>+F171*G171*H171</f>
        <v>3.6579200000000003</v>
      </c>
      <c r="J171" s="15">
        <f>+I171*0.05</f>
        <v>0.18289600000000003</v>
      </c>
      <c r="K171" s="16">
        <f>+J171+I171</f>
        <v>3.8408160000000002</v>
      </c>
      <c r="L171" s="17"/>
      <c r="M171" s="33"/>
    </row>
    <row r="172" spans="2:13" x14ac:dyDescent="0.25">
      <c r="B172" s="32"/>
      <c r="C172" s="3"/>
      <c r="D172" s="3"/>
      <c r="E172" s="13">
        <v>0.5</v>
      </c>
      <c r="F172" s="14">
        <v>4</v>
      </c>
      <c r="G172" s="15">
        <f>1.09+0.15+0.15</f>
        <v>1.39</v>
      </c>
      <c r="H172" s="15">
        <f t="shared" ref="H172:H173" si="44">+IF(E172=5/8,1.552,IF(E172=1/2,0.994,IF(E172=3/8,0.56,IF(E172=1/4,0.25))))</f>
        <v>0.99399999999999999</v>
      </c>
      <c r="I172" s="15">
        <f t="shared" ref="I172" si="45">+F172*G172*H172</f>
        <v>5.5266399999999996</v>
      </c>
      <c r="J172" s="15">
        <f t="shared" ref="J172" si="46">+I172*0.05</f>
        <v>0.27633199999999997</v>
      </c>
      <c r="K172" s="16">
        <f t="shared" ref="K172" si="47">+J172+I172</f>
        <v>5.8029719999999996</v>
      </c>
      <c r="L172" s="17"/>
      <c r="M172" s="33"/>
    </row>
    <row r="173" spans="2:13" x14ac:dyDescent="0.25">
      <c r="B173" s="32"/>
      <c r="C173" s="3"/>
      <c r="D173" s="3"/>
      <c r="E173" s="13">
        <v>0.5</v>
      </c>
      <c r="F173" s="14">
        <v>4</v>
      </c>
      <c r="G173" s="15">
        <f>1.29+0.15+0.15</f>
        <v>1.5899999999999999</v>
      </c>
      <c r="H173" s="15">
        <f t="shared" si="44"/>
        <v>0.99399999999999999</v>
      </c>
      <c r="I173" s="15">
        <f>+F173*G173*H173</f>
        <v>6.321839999999999</v>
      </c>
      <c r="J173" s="15">
        <f>+I173*0.05</f>
        <v>0.31609199999999998</v>
      </c>
      <c r="K173" s="16">
        <f>+J173+I173</f>
        <v>6.6379319999999993</v>
      </c>
      <c r="L173" s="17"/>
      <c r="M173" s="33"/>
    </row>
    <row r="174" spans="2:13" x14ac:dyDescent="0.25">
      <c r="B174" s="32"/>
      <c r="C174" s="3"/>
      <c r="D174" s="3"/>
      <c r="E174" s="13">
        <v>0.5</v>
      </c>
      <c r="F174" s="14">
        <v>2</v>
      </c>
      <c r="G174" s="15">
        <f>1.35+0.15+0.15</f>
        <v>1.65</v>
      </c>
      <c r="H174" s="15">
        <f>+IF(E174=5/8,1.552,IF(E174=1/2,0.994,IF(E174=3/8,0.56,IF(E174=1/4,0.25))))</f>
        <v>0.99399999999999999</v>
      </c>
      <c r="I174" s="15">
        <f>+F174*G174*H174</f>
        <v>3.2801999999999998</v>
      </c>
      <c r="J174" s="15">
        <f>+I174*0.05</f>
        <v>0.16400999999999999</v>
      </c>
      <c r="K174" s="16">
        <f>+J174+I174</f>
        <v>3.44421</v>
      </c>
      <c r="L174" s="18">
        <f>+SUM(K171:K174)</f>
        <v>19.725929999999998</v>
      </c>
      <c r="M174" s="33"/>
    </row>
    <row r="175" spans="2:13" x14ac:dyDescent="0.25">
      <c r="B175" s="32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3"/>
    </row>
    <row r="176" spans="2:13" x14ac:dyDescent="0.25">
      <c r="B176" s="32"/>
      <c r="C176" s="3"/>
      <c r="D176" s="3" t="s">
        <v>25</v>
      </c>
      <c r="E176" s="19"/>
      <c r="F176" s="20"/>
      <c r="G176" s="21"/>
      <c r="H176" s="21"/>
      <c r="I176" s="21"/>
      <c r="J176" s="21"/>
      <c r="K176" s="21"/>
      <c r="L176" s="3"/>
      <c r="M176" s="33"/>
    </row>
    <row r="177" spans="2:13" x14ac:dyDescent="0.25">
      <c r="B177" s="32"/>
      <c r="C177" s="3"/>
      <c r="D177" s="3"/>
      <c r="E177" s="10" t="s">
        <v>8</v>
      </c>
      <c r="F177" s="10" t="s">
        <v>9</v>
      </c>
      <c r="G177" s="11" t="s">
        <v>10</v>
      </c>
      <c r="H177" s="11" t="s">
        <v>11</v>
      </c>
      <c r="I177" s="11" t="s">
        <v>12</v>
      </c>
      <c r="J177" s="11" t="s">
        <v>13</v>
      </c>
      <c r="K177" s="11" t="s">
        <v>14</v>
      </c>
      <c r="L177" s="11" t="s">
        <v>15</v>
      </c>
      <c r="M177" s="33"/>
    </row>
    <row r="178" spans="2:13" x14ac:dyDescent="0.25">
      <c r="B178" s="32"/>
      <c r="C178" s="3"/>
      <c r="D178" s="3"/>
      <c r="E178" s="10">
        <v>1.35</v>
      </c>
      <c r="F178" s="1"/>
      <c r="G178" s="11">
        <f>PI()*E178</f>
        <v>4.2411500823462207</v>
      </c>
      <c r="H178" s="11"/>
      <c r="I178" s="11"/>
      <c r="J178" s="11"/>
      <c r="K178" s="46"/>
      <c r="L178" s="47"/>
      <c r="M178" s="33"/>
    </row>
    <row r="179" spans="2:13" x14ac:dyDescent="0.25">
      <c r="B179" s="32"/>
      <c r="C179" s="22"/>
      <c r="D179" s="22" t="s">
        <v>16</v>
      </c>
      <c r="E179" s="13">
        <v>0.5</v>
      </c>
      <c r="F179" s="41">
        <f>+INT(G178/0.2)</f>
        <v>21</v>
      </c>
      <c r="G179" s="15">
        <f>0.3+G162</f>
        <v>2.8</v>
      </c>
      <c r="H179" s="15">
        <f>IF(E179=5/8,1.56,IF(E179=1/2,0.994,IF(E179=3/8,0.56,IF(E179=1/4,0.25))))</f>
        <v>0.99399999999999999</v>
      </c>
      <c r="I179" s="15">
        <f>+F179*G179*H179</f>
        <v>58.447199999999995</v>
      </c>
      <c r="J179" s="15">
        <f>+I179*0.05</f>
        <v>2.9223599999999998</v>
      </c>
      <c r="K179" s="23">
        <f>+J179+I179</f>
        <v>61.369559999999993</v>
      </c>
      <c r="L179" s="17"/>
      <c r="M179" s="33"/>
    </row>
    <row r="180" spans="2:13" x14ac:dyDescent="0.25">
      <c r="B180" s="32"/>
      <c r="C180" s="22"/>
      <c r="D180" s="22" t="s">
        <v>17</v>
      </c>
      <c r="E180" s="13">
        <v>0.5</v>
      </c>
      <c r="F180" s="41">
        <f>+INT(G162/0.2)</f>
        <v>12</v>
      </c>
      <c r="G180" s="15">
        <f>+F162+0.15+0.15</f>
        <v>1.7999999999999998</v>
      </c>
      <c r="H180" s="15">
        <f>+IF(E180=5/8,1.56,IF(E180=1/2,0.994,IF(E180=3/8,0.56,IF(E180=1/4,0.25))))</f>
        <v>0.99399999999999999</v>
      </c>
      <c r="I180" s="15">
        <f>+F180*G180*H180</f>
        <v>21.470399999999998</v>
      </c>
      <c r="J180" s="15">
        <f>+I180*0.05</f>
        <v>1.07352</v>
      </c>
      <c r="K180" s="23">
        <f>+J180+I180</f>
        <v>22.543919999999996</v>
      </c>
      <c r="L180" s="18">
        <f>+SUM(K179:K180)</f>
        <v>83.913479999999993</v>
      </c>
      <c r="M180" s="33"/>
    </row>
    <row r="181" spans="2:13" x14ac:dyDescent="0.25">
      <c r="B181" s="32"/>
      <c r="C181" s="3"/>
      <c r="D181" s="3"/>
      <c r="E181" s="3"/>
      <c r="F181" s="2"/>
      <c r="G181" s="3"/>
      <c r="H181" s="24"/>
      <c r="I181" s="5"/>
      <c r="J181" s="3"/>
      <c r="K181" s="3"/>
      <c r="L181" s="3"/>
      <c r="M181" s="33"/>
    </row>
    <row r="182" spans="2:13" x14ac:dyDescent="0.25">
      <c r="B182" s="32"/>
      <c r="C182" s="3"/>
      <c r="D182" s="3" t="s">
        <v>26</v>
      </c>
      <c r="E182" s="3"/>
      <c r="F182" s="3"/>
      <c r="G182" s="3"/>
      <c r="H182" s="3"/>
      <c r="I182" s="3"/>
      <c r="J182" s="3"/>
      <c r="K182" s="3"/>
      <c r="L182" s="3"/>
      <c r="M182" s="33"/>
    </row>
    <row r="183" spans="2:13" x14ac:dyDescent="0.25">
      <c r="B183" s="32"/>
      <c r="C183" s="3"/>
      <c r="D183" s="3"/>
      <c r="E183" s="10" t="s">
        <v>8</v>
      </c>
      <c r="F183" s="10" t="s">
        <v>9</v>
      </c>
      <c r="G183" s="11" t="s">
        <v>10</v>
      </c>
      <c r="H183" s="11" t="s">
        <v>11</v>
      </c>
      <c r="I183" s="11" t="s">
        <v>12</v>
      </c>
      <c r="J183" s="11" t="s">
        <v>13</v>
      </c>
      <c r="K183" s="11" t="s">
        <v>14</v>
      </c>
      <c r="L183" s="12" t="s">
        <v>15</v>
      </c>
      <c r="M183" s="33"/>
    </row>
    <row r="184" spans="2:13" x14ac:dyDescent="0.25">
      <c r="B184" s="32"/>
      <c r="C184" s="3"/>
      <c r="D184" s="22" t="s">
        <v>23</v>
      </c>
      <c r="E184" s="13">
        <v>0.5</v>
      </c>
      <c r="F184" s="14">
        <v>2</v>
      </c>
      <c r="G184" s="15">
        <f>0.5385+0.2+0.2</f>
        <v>0.93849999999999989</v>
      </c>
      <c r="H184" s="15">
        <f>+IF(E184=5/8,1.552,IF(E184=1/2,0.994,IF(E184=3/8,0.56,IF(E184=1/4,0.25))))</f>
        <v>0.99399999999999999</v>
      </c>
      <c r="I184" s="15">
        <f>+F184*G184*H184</f>
        <v>1.8657379999999997</v>
      </c>
      <c r="J184" s="15">
        <f>+I184*0.05</f>
        <v>9.3286899999999992E-2</v>
      </c>
      <c r="K184" s="16">
        <f>+J184+I184</f>
        <v>1.9590248999999997</v>
      </c>
      <c r="L184" s="17"/>
      <c r="M184" s="33"/>
    </row>
    <row r="185" spans="2:13" x14ac:dyDescent="0.25">
      <c r="B185" s="32"/>
      <c r="C185" s="3"/>
      <c r="D185" s="22" t="s">
        <v>23</v>
      </c>
      <c r="E185" s="13">
        <v>0.5</v>
      </c>
      <c r="F185" s="14">
        <v>2</v>
      </c>
      <c r="G185" s="15">
        <f>0.9+0.2+0.2</f>
        <v>1.3</v>
      </c>
      <c r="H185" s="15">
        <f t="shared" ref="H185:H191" si="48">+IF(E185=5/8,1.552,IF(E185=1/2,0.994,IF(E185=3/8,0.56,IF(E185=1/4,0.25))))</f>
        <v>0.99399999999999999</v>
      </c>
      <c r="I185" s="15">
        <f t="shared" ref="I185:I191" si="49">+F185*G185*H185</f>
        <v>2.5844</v>
      </c>
      <c r="J185" s="15">
        <f t="shared" ref="J185:J191" si="50">+I185*0.05</f>
        <v>0.12922</v>
      </c>
      <c r="K185" s="16">
        <f t="shared" ref="K185:K191" si="51">+J185+I185</f>
        <v>2.7136200000000001</v>
      </c>
      <c r="L185" s="17"/>
      <c r="M185" s="33"/>
    </row>
    <row r="186" spans="2:13" x14ac:dyDescent="0.25">
      <c r="B186" s="32"/>
      <c r="C186" s="3"/>
      <c r="D186" s="22" t="s">
        <v>23</v>
      </c>
      <c r="E186" s="13">
        <v>0.5</v>
      </c>
      <c r="F186" s="14">
        <v>2</v>
      </c>
      <c r="G186" s="15">
        <f>1.118+0.2+0.2</f>
        <v>1.518</v>
      </c>
      <c r="H186" s="15">
        <f t="shared" si="48"/>
        <v>0.99399999999999999</v>
      </c>
      <c r="I186" s="15">
        <f t="shared" si="49"/>
        <v>3.0177839999999998</v>
      </c>
      <c r="J186" s="15">
        <f t="shared" si="50"/>
        <v>0.1508892</v>
      </c>
      <c r="K186" s="16">
        <f t="shared" si="51"/>
        <v>3.1686731999999997</v>
      </c>
      <c r="L186" s="17"/>
      <c r="M186" s="33"/>
    </row>
    <row r="187" spans="2:13" x14ac:dyDescent="0.25">
      <c r="B187" s="32"/>
      <c r="C187" s="3"/>
      <c r="D187" s="22" t="s">
        <v>23</v>
      </c>
      <c r="E187" s="13">
        <v>0.5</v>
      </c>
      <c r="F187" s="14">
        <v>2</v>
      </c>
      <c r="G187" s="15">
        <f>1.2689+0.2+0.2</f>
        <v>1.6688999999999998</v>
      </c>
      <c r="H187" s="15">
        <f t="shared" si="48"/>
        <v>0.99399999999999999</v>
      </c>
      <c r="I187" s="15">
        <f t="shared" si="49"/>
        <v>3.3177731999999995</v>
      </c>
      <c r="J187" s="15">
        <f t="shared" si="50"/>
        <v>0.16588865999999999</v>
      </c>
      <c r="K187" s="16">
        <f t="shared" si="51"/>
        <v>3.4836618599999993</v>
      </c>
      <c r="L187" s="17"/>
      <c r="M187" s="33"/>
    </row>
    <row r="188" spans="2:13" x14ac:dyDescent="0.25">
      <c r="B188" s="32"/>
      <c r="C188" s="3"/>
      <c r="D188" s="22" t="s">
        <v>23</v>
      </c>
      <c r="E188" s="13">
        <v>0.5</v>
      </c>
      <c r="F188" s="14">
        <v>4</v>
      </c>
      <c r="G188" s="15">
        <f>0.5071+0.2+0.2</f>
        <v>0.90710000000000002</v>
      </c>
      <c r="H188" s="15">
        <f t="shared" si="48"/>
        <v>0.99399999999999999</v>
      </c>
      <c r="I188" s="15">
        <f t="shared" si="49"/>
        <v>3.6066296000000002</v>
      </c>
      <c r="J188" s="15">
        <f t="shared" si="50"/>
        <v>0.18033148000000002</v>
      </c>
      <c r="K188" s="16">
        <f t="shared" si="51"/>
        <v>3.7869610800000002</v>
      </c>
      <c r="L188" s="17"/>
      <c r="M188" s="33"/>
    </row>
    <row r="189" spans="2:13" x14ac:dyDescent="0.25">
      <c r="B189" s="32"/>
      <c r="C189" s="3"/>
      <c r="D189" s="22" t="s">
        <v>23</v>
      </c>
      <c r="E189" s="13">
        <v>0.5</v>
      </c>
      <c r="F189" s="14">
        <v>4</v>
      </c>
      <c r="G189" s="15">
        <f>0.4356+0.2+0.2</f>
        <v>0.8355999999999999</v>
      </c>
      <c r="H189" s="15">
        <f t="shared" si="48"/>
        <v>0.99399999999999999</v>
      </c>
      <c r="I189" s="15">
        <f t="shared" si="49"/>
        <v>3.3223455999999998</v>
      </c>
      <c r="J189" s="15">
        <f t="shared" si="50"/>
        <v>0.16611728000000001</v>
      </c>
      <c r="K189" s="16">
        <f t="shared" si="51"/>
        <v>3.4884628799999997</v>
      </c>
      <c r="L189" s="17"/>
      <c r="M189" s="33"/>
    </row>
    <row r="190" spans="2:13" x14ac:dyDescent="0.25">
      <c r="B190" s="32"/>
      <c r="C190" s="3"/>
      <c r="D190" s="22" t="s">
        <v>23</v>
      </c>
      <c r="E190" s="13">
        <v>0.5</v>
      </c>
      <c r="F190" s="14">
        <v>4</v>
      </c>
      <c r="G190" s="15">
        <f>0.4079+0.2+0.2</f>
        <v>0.80790000000000006</v>
      </c>
      <c r="H190" s="15">
        <f t="shared" si="48"/>
        <v>0.99399999999999999</v>
      </c>
      <c r="I190" s="15">
        <f t="shared" si="49"/>
        <v>3.2122104</v>
      </c>
      <c r="J190" s="15">
        <f t="shared" si="50"/>
        <v>0.16061052000000001</v>
      </c>
      <c r="K190" s="16">
        <f t="shared" si="51"/>
        <v>3.3728209200000001</v>
      </c>
      <c r="L190" s="17"/>
      <c r="M190" s="33"/>
    </row>
    <row r="191" spans="2:13" x14ac:dyDescent="0.25">
      <c r="B191" s="32"/>
      <c r="C191" s="3"/>
      <c r="D191" s="22" t="s">
        <v>23</v>
      </c>
      <c r="E191" s="13">
        <v>0.5</v>
      </c>
      <c r="F191" s="14">
        <v>2</v>
      </c>
      <c r="G191" s="15">
        <f>0.4+0.2+0.2</f>
        <v>0.8</v>
      </c>
      <c r="H191" s="15">
        <f t="shared" si="48"/>
        <v>0.99399999999999999</v>
      </c>
      <c r="I191" s="15">
        <f t="shared" si="49"/>
        <v>1.5904</v>
      </c>
      <c r="J191" s="15">
        <f t="shared" si="50"/>
        <v>7.9520000000000007E-2</v>
      </c>
      <c r="K191" s="16">
        <f t="shared" si="51"/>
        <v>1.6699200000000001</v>
      </c>
      <c r="L191" s="18">
        <f>+SUM(K184:K191)</f>
        <v>23.643144839999998</v>
      </c>
      <c r="M191" s="33"/>
    </row>
    <row r="192" spans="2:13" x14ac:dyDescent="0.25">
      <c r="B192" s="32"/>
      <c r="C192" s="3"/>
      <c r="D192" s="3"/>
      <c r="E192" s="42"/>
      <c r="F192" s="43"/>
      <c r="G192" s="44"/>
      <c r="H192" s="44"/>
      <c r="I192" s="44"/>
      <c r="J192" s="44"/>
      <c r="K192" s="43"/>
      <c r="L192" s="45"/>
      <c r="M192" s="33"/>
    </row>
    <row r="193" spans="2:13" x14ac:dyDescent="0.25">
      <c r="B193" s="32"/>
      <c r="C193" s="3"/>
      <c r="D193" s="3"/>
      <c r="E193" s="10" t="s">
        <v>8</v>
      </c>
      <c r="F193" s="10" t="s">
        <v>9</v>
      </c>
      <c r="G193" s="11" t="s">
        <v>10</v>
      </c>
      <c r="H193" s="11" t="s">
        <v>11</v>
      </c>
      <c r="I193" s="11" t="s">
        <v>12</v>
      </c>
      <c r="J193" s="11" t="s">
        <v>13</v>
      </c>
      <c r="K193" s="11" t="s">
        <v>14</v>
      </c>
      <c r="L193" s="12" t="s">
        <v>15</v>
      </c>
      <c r="M193" s="33"/>
    </row>
    <row r="194" spans="2:13" x14ac:dyDescent="0.25">
      <c r="B194" s="32"/>
      <c r="C194" s="3"/>
      <c r="D194" s="22" t="s">
        <v>24</v>
      </c>
      <c r="E194" s="13">
        <v>0.5</v>
      </c>
      <c r="F194" s="14">
        <v>2</v>
      </c>
      <c r="G194" s="15">
        <f>0.5385+0.2+0.2</f>
        <v>0.93849999999999989</v>
      </c>
      <c r="H194" s="15">
        <f>+IF(E194=5/8,1.552,IF(E194=1/2,0.994,IF(E194=3/8,0.56,IF(E194=1/4,0.25))))</f>
        <v>0.99399999999999999</v>
      </c>
      <c r="I194" s="15">
        <f t="shared" ref="I194:I201" si="52">+F194*G194*H194</f>
        <v>1.8657379999999997</v>
      </c>
      <c r="J194" s="15">
        <f>+I194*0.05</f>
        <v>9.3286899999999992E-2</v>
      </c>
      <c r="K194" s="16">
        <f>+J194+I194</f>
        <v>1.9590248999999997</v>
      </c>
      <c r="L194" s="17"/>
      <c r="M194" s="33"/>
    </row>
    <row r="195" spans="2:13" x14ac:dyDescent="0.25">
      <c r="B195" s="32"/>
      <c r="C195" s="3"/>
      <c r="D195" s="22" t="s">
        <v>24</v>
      </c>
      <c r="E195" s="13">
        <v>0.5</v>
      </c>
      <c r="F195" s="14">
        <v>2</v>
      </c>
      <c r="G195" s="15">
        <f>0.9+0.2+0.2</f>
        <v>1.3</v>
      </c>
      <c r="H195" s="15">
        <f t="shared" ref="H195:H201" si="53">+IF(E195=5/8,1.552,IF(E195=1/2,0.994,IF(E195=3/8,0.56,IF(E195=1/4,0.25))))</f>
        <v>0.99399999999999999</v>
      </c>
      <c r="I195" s="15">
        <f t="shared" si="52"/>
        <v>2.5844</v>
      </c>
      <c r="J195" s="15">
        <f t="shared" ref="J195:J201" si="54">+I195*0.05</f>
        <v>0.12922</v>
      </c>
      <c r="K195" s="16">
        <f t="shared" ref="K195:K201" si="55">+J195+I195</f>
        <v>2.7136200000000001</v>
      </c>
      <c r="L195" s="17"/>
      <c r="M195" s="33"/>
    </row>
    <row r="196" spans="2:13" x14ac:dyDescent="0.25">
      <c r="B196" s="32"/>
      <c r="C196" s="3"/>
      <c r="D196" s="22" t="s">
        <v>24</v>
      </c>
      <c r="E196" s="13">
        <v>0.5</v>
      </c>
      <c r="F196" s="14">
        <v>2</v>
      </c>
      <c r="G196" s="15">
        <f>1.118+0.2+0.2</f>
        <v>1.518</v>
      </c>
      <c r="H196" s="15">
        <f t="shared" si="53"/>
        <v>0.99399999999999999</v>
      </c>
      <c r="I196" s="15">
        <f t="shared" si="52"/>
        <v>3.0177839999999998</v>
      </c>
      <c r="J196" s="15">
        <f t="shared" si="54"/>
        <v>0.1508892</v>
      </c>
      <c r="K196" s="16">
        <f t="shared" si="55"/>
        <v>3.1686731999999997</v>
      </c>
      <c r="L196" s="17"/>
      <c r="M196" s="33"/>
    </row>
    <row r="197" spans="2:13" x14ac:dyDescent="0.25">
      <c r="B197" s="32"/>
      <c r="C197" s="3"/>
      <c r="D197" s="22" t="s">
        <v>24</v>
      </c>
      <c r="E197" s="13">
        <v>0.5</v>
      </c>
      <c r="F197" s="14">
        <v>2</v>
      </c>
      <c r="G197" s="15">
        <f>1.2689+0.2+0.2</f>
        <v>1.6688999999999998</v>
      </c>
      <c r="H197" s="15">
        <f t="shared" si="53"/>
        <v>0.99399999999999999</v>
      </c>
      <c r="I197" s="15">
        <f t="shared" si="52"/>
        <v>3.3177731999999995</v>
      </c>
      <c r="J197" s="15">
        <f t="shared" si="54"/>
        <v>0.16588865999999999</v>
      </c>
      <c r="K197" s="16">
        <f t="shared" si="55"/>
        <v>3.4836618599999993</v>
      </c>
      <c r="L197" s="17"/>
      <c r="M197" s="33"/>
    </row>
    <row r="198" spans="2:13" x14ac:dyDescent="0.25">
      <c r="B198" s="32"/>
      <c r="C198" s="3"/>
      <c r="D198" s="22" t="s">
        <v>24</v>
      </c>
      <c r="E198" s="13">
        <v>0.5</v>
      </c>
      <c r="F198" s="14">
        <v>4</v>
      </c>
      <c r="G198" s="15">
        <f>0.5071+0.2+0.2</f>
        <v>0.90710000000000002</v>
      </c>
      <c r="H198" s="15">
        <f t="shared" si="53"/>
        <v>0.99399999999999999</v>
      </c>
      <c r="I198" s="15">
        <f t="shared" si="52"/>
        <v>3.6066296000000002</v>
      </c>
      <c r="J198" s="15">
        <f t="shared" si="54"/>
        <v>0.18033148000000002</v>
      </c>
      <c r="K198" s="16">
        <f t="shared" si="55"/>
        <v>3.7869610800000002</v>
      </c>
      <c r="L198" s="17"/>
      <c r="M198" s="33"/>
    </row>
    <row r="199" spans="2:13" x14ac:dyDescent="0.25">
      <c r="B199" s="32"/>
      <c r="C199" s="3"/>
      <c r="D199" s="22" t="s">
        <v>24</v>
      </c>
      <c r="E199" s="13">
        <v>0.5</v>
      </c>
      <c r="F199" s="14">
        <v>4</v>
      </c>
      <c r="G199" s="15">
        <f>0.4356+0.2+0.2</f>
        <v>0.8355999999999999</v>
      </c>
      <c r="H199" s="15">
        <f t="shared" si="53"/>
        <v>0.99399999999999999</v>
      </c>
      <c r="I199" s="15">
        <f t="shared" si="52"/>
        <v>3.3223455999999998</v>
      </c>
      <c r="J199" s="15">
        <f t="shared" si="54"/>
        <v>0.16611728000000001</v>
      </c>
      <c r="K199" s="16">
        <f t="shared" si="55"/>
        <v>3.4884628799999997</v>
      </c>
      <c r="L199" s="17"/>
      <c r="M199" s="33"/>
    </row>
    <row r="200" spans="2:13" x14ac:dyDescent="0.25">
      <c r="B200" s="32"/>
      <c r="C200" s="3"/>
      <c r="D200" s="22" t="s">
        <v>24</v>
      </c>
      <c r="E200" s="13">
        <v>0.5</v>
      </c>
      <c r="F200" s="14">
        <v>4</v>
      </c>
      <c r="G200" s="15">
        <f>0.4079+0.2+0.2</f>
        <v>0.80790000000000006</v>
      </c>
      <c r="H200" s="15">
        <f t="shared" si="53"/>
        <v>0.99399999999999999</v>
      </c>
      <c r="I200" s="15">
        <f t="shared" si="52"/>
        <v>3.2122104</v>
      </c>
      <c r="J200" s="15">
        <f t="shared" si="54"/>
        <v>0.16061052000000001</v>
      </c>
      <c r="K200" s="16">
        <f t="shared" si="55"/>
        <v>3.3728209200000001</v>
      </c>
      <c r="L200" s="17"/>
      <c r="M200" s="33"/>
    </row>
    <row r="201" spans="2:13" x14ac:dyDescent="0.25">
      <c r="B201" s="32"/>
      <c r="C201" s="3"/>
      <c r="D201" s="22" t="s">
        <v>24</v>
      </c>
      <c r="E201" s="13">
        <v>0.5</v>
      </c>
      <c r="F201" s="14">
        <v>2</v>
      </c>
      <c r="G201" s="15">
        <f>0.4+0.2+0.2</f>
        <v>0.8</v>
      </c>
      <c r="H201" s="15">
        <f t="shared" si="53"/>
        <v>0.99399999999999999</v>
      </c>
      <c r="I201" s="15">
        <f t="shared" si="52"/>
        <v>1.5904</v>
      </c>
      <c r="J201" s="15">
        <f t="shared" si="54"/>
        <v>7.9520000000000007E-2</v>
      </c>
      <c r="K201" s="16">
        <f t="shared" si="55"/>
        <v>1.6699200000000001</v>
      </c>
      <c r="L201" s="18">
        <f>+SUM(K194:K201)</f>
        <v>23.643144839999998</v>
      </c>
      <c r="M201" s="33"/>
    </row>
    <row r="202" spans="2:13" x14ac:dyDescent="0.25">
      <c r="B202" s="32"/>
      <c r="C202" s="3"/>
      <c r="D202" s="22"/>
      <c r="E202" s="42"/>
      <c r="F202" s="43"/>
      <c r="G202" s="44"/>
      <c r="H202" s="44"/>
      <c r="I202" s="44"/>
      <c r="J202" s="44"/>
      <c r="K202" s="44"/>
      <c r="L202" s="45"/>
      <c r="M202" s="33"/>
    </row>
    <row r="203" spans="2:13" x14ac:dyDescent="0.25">
      <c r="B203" s="32"/>
      <c r="C203" s="3"/>
      <c r="E203" s="55" t="s">
        <v>28</v>
      </c>
      <c r="F203" s="43"/>
      <c r="G203" s="44"/>
      <c r="H203" s="44"/>
      <c r="I203" s="44"/>
      <c r="J203" s="44"/>
      <c r="K203" s="44"/>
      <c r="L203" s="45"/>
      <c r="M203" s="33"/>
    </row>
    <row r="204" spans="2:13" x14ac:dyDescent="0.25">
      <c r="B204" s="32"/>
      <c r="C204" s="3"/>
      <c r="D204" s="22"/>
      <c r="E204" s="10" t="s">
        <v>8</v>
      </c>
      <c r="F204" s="10" t="s">
        <v>9</v>
      </c>
      <c r="G204" s="11" t="s">
        <v>10</v>
      </c>
      <c r="H204" s="11" t="s">
        <v>11</v>
      </c>
      <c r="I204" s="11" t="s">
        <v>12</v>
      </c>
      <c r="J204" s="11" t="s">
        <v>13</v>
      </c>
      <c r="K204" s="11" t="s">
        <v>14</v>
      </c>
      <c r="L204" s="12" t="s">
        <v>15</v>
      </c>
      <c r="M204" s="33"/>
    </row>
    <row r="205" spans="2:13" x14ac:dyDescent="0.25">
      <c r="B205" s="32"/>
      <c r="C205" s="3"/>
      <c r="D205" s="22"/>
      <c r="E205" s="13">
        <v>0.5</v>
      </c>
      <c r="F205" s="14">
        <v>4</v>
      </c>
      <c r="G205" s="15">
        <f>1.32+0.2+0.2</f>
        <v>1.72</v>
      </c>
      <c r="H205" s="15">
        <f>+IF(E205=5/8,1.552,IF(E205=1/2,0.994,IF(E205=3/8,0.56,IF(E205=1/4,0.25))))</f>
        <v>0.99399999999999999</v>
      </c>
      <c r="I205" s="15">
        <f t="shared" ref="I205:I206" si="56">+F205*G205*H205</f>
        <v>6.8387199999999995</v>
      </c>
      <c r="J205" s="15">
        <f>+I205*0.05</f>
        <v>0.34193600000000002</v>
      </c>
      <c r="K205" s="15">
        <f>+J205+I205</f>
        <v>7.180655999999999</v>
      </c>
      <c r="L205" s="17"/>
      <c r="M205" s="33"/>
    </row>
    <row r="206" spans="2:13" x14ac:dyDescent="0.25">
      <c r="B206" s="32"/>
      <c r="C206" s="3"/>
      <c r="D206" s="22"/>
      <c r="E206" s="13">
        <v>0.5</v>
      </c>
      <c r="F206" s="14">
        <v>4</v>
      </c>
      <c r="G206" s="15">
        <f>1.32+0.2+0.2</f>
        <v>1.72</v>
      </c>
      <c r="H206" s="15">
        <f t="shared" ref="H206" si="57">+IF(E206=5/8,1.552,IF(E206=1/2,0.994,IF(E206=3/8,0.56,IF(E206=1/4,0.25))))</f>
        <v>0.99399999999999999</v>
      </c>
      <c r="I206" s="15">
        <f t="shared" si="56"/>
        <v>6.8387199999999995</v>
      </c>
      <c r="J206" s="15">
        <f t="shared" ref="J206" si="58">+I206*0.05</f>
        <v>0.34193600000000002</v>
      </c>
      <c r="K206" s="15">
        <f t="shared" ref="K206" si="59">+J206+I206</f>
        <v>7.180655999999999</v>
      </c>
      <c r="L206" s="18">
        <f>SUM(K205:K206)</f>
        <v>14.361311999999998</v>
      </c>
      <c r="M206" s="33"/>
    </row>
    <row r="207" spans="2:13" x14ac:dyDescent="0.25">
      <c r="B207" s="32"/>
      <c r="C207" s="3"/>
      <c r="D207" s="22"/>
      <c r="E207" s="42"/>
      <c r="F207" s="43"/>
      <c r="G207" s="44"/>
      <c r="H207" s="44"/>
      <c r="I207" s="44"/>
      <c r="J207" s="44"/>
      <c r="K207" s="44"/>
      <c r="L207" s="45"/>
      <c r="M207" s="33"/>
    </row>
    <row r="208" spans="2:13" x14ac:dyDescent="0.25">
      <c r="B208" s="34"/>
      <c r="C208" s="25"/>
      <c r="D208" s="25"/>
      <c r="E208" s="25"/>
      <c r="F208" s="25"/>
      <c r="G208" s="26"/>
      <c r="H208" s="7" t="s">
        <v>18</v>
      </c>
      <c r="I208" s="27">
        <f>+L191+L180+L174+L201+L206</f>
        <v>165.28701167999998</v>
      </c>
      <c r="J208" s="28" t="s">
        <v>19</v>
      </c>
      <c r="K208" s="25"/>
      <c r="L208" s="61"/>
      <c r="M208" s="35"/>
    </row>
    <row r="209" spans="2:13" ht="15.75" thickBot="1" x14ac:dyDescent="0.3">
      <c r="B209" s="36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8"/>
    </row>
    <row r="210" spans="2:13" ht="15.75" thickTop="1" x14ac:dyDescent="0.25"/>
  </sheetData>
  <mergeCells count="4">
    <mergeCell ref="C3:L3"/>
    <mergeCell ref="C36:L36"/>
    <mergeCell ref="C94:L94"/>
    <mergeCell ref="C155:L155"/>
  </mergeCells>
  <printOptions horizontalCentered="1" verticalCentered="1"/>
  <pageMargins left="0.43307086614173229" right="0.23622047244094491" top="0.94488188976377963" bottom="0.74803149606299213" header="0.31496062992125984" footer="0.31496062992125984"/>
  <pageSetup paperSize="9" fitToHeight="0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ACERO EN BUZONES </vt:lpstr>
      <vt:lpstr>'ACERO EN BUZONES 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Casa</dc:creator>
  <cp:lastModifiedBy>Casa</cp:lastModifiedBy>
  <cp:lastPrinted>2020-01-31T01:03:57Z</cp:lastPrinted>
  <dcterms:created xsi:type="dcterms:W3CDTF">2019-05-16T23:34:11Z</dcterms:created>
  <dcterms:modified xsi:type="dcterms:W3CDTF">2020-09-24T22:01:52Z</dcterms:modified>
</cp:coreProperties>
</file>